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wilsons\Downloads\"/>
    </mc:Choice>
  </mc:AlternateContent>
  <xr:revisionPtr revIDLastSave="0" documentId="8_{23F07959-ED26-401E-86FB-7327FE8C05E5}" xr6:coauthVersionLast="47" xr6:coauthVersionMax="47" xr10:uidLastSave="{00000000-0000-0000-0000-000000000000}"/>
  <bookViews>
    <workbookView xWindow="28680" yWindow="-120" windowWidth="29040" windowHeight="15720" xr2:uid="{0DC88BD5-E112-41D3-B186-E37F03DBAA2C}"/>
  </bookViews>
  <sheets>
    <sheet name="As at July 25 (New version)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2" i="5" l="1"/>
  <c r="M21" i="5"/>
  <c r="M20" i="5"/>
  <c r="L18" i="5"/>
  <c r="K18" i="5"/>
  <c r="J18" i="5"/>
  <c r="I18" i="5"/>
  <c r="M17" i="5"/>
  <c r="M16" i="5"/>
  <c r="H15" i="5"/>
  <c r="H18" i="5" s="1"/>
  <c r="G15" i="5"/>
  <c r="G18" i="5" s="1"/>
  <c r="F15" i="5"/>
  <c r="F18" i="5" s="1"/>
  <c r="E15" i="5"/>
  <c r="E18" i="5" s="1"/>
  <c r="D15" i="5"/>
  <c r="D18" i="5" s="1"/>
  <c r="C15" i="5"/>
  <c r="C18" i="5" s="1"/>
  <c r="N18" i="5" s="1"/>
  <c r="L12" i="5"/>
  <c r="G12" i="5"/>
  <c r="F12" i="5"/>
  <c r="E12" i="5"/>
  <c r="D12" i="5"/>
  <c r="C12" i="5"/>
  <c r="N12" i="5" s="1"/>
  <c r="M11" i="5"/>
  <c r="M10" i="5"/>
  <c r="M9" i="5"/>
  <c r="K7" i="5"/>
  <c r="K12" i="5" s="1"/>
  <c r="J7" i="5"/>
  <c r="J12" i="5" s="1"/>
  <c r="I7" i="5"/>
  <c r="I12" i="5" s="1"/>
  <c r="H7" i="5"/>
  <c r="H12" i="5" s="1"/>
  <c r="M12" i="5" s="1"/>
  <c r="N5" i="5"/>
  <c r="M5" i="5"/>
  <c r="M7" i="5" l="1"/>
  <c r="M15" i="5"/>
  <c r="M18" i="5" s="1"/>
  <c r="C26" i="5"/>
  <c r="D26" i="5" s="1"/>
  <c r="E26" i="5" s="1"/>
  <c r="F26" i="5" s="1"/>
  <c r="G26" i="5" s="1"/>
  <c r="H23" i="5" s="1"/>
  <c r="H24" i="5" s="1"/>
  <c r="H25" i="5" l="1"/>
  <c r="H26" i="5" l="1"/>
  <c r="I23" i="5" s="1"/>
  <c r="I25" i="5" l="1"/>
  <c r="I24" i="5"/>
  <c r="I26" i="5" l="1"/>
  <c r="J23" i="5" s="1"/>
  <c r="J25" i="5" l="1"/>
  <c r="J24" i="5"/>
  <c r="J26" i="5" l="1"/>
  <c r="K23" i="5" s="1"/>
  <c r="K25" i="5" l="1"/>
  <c r="K24" i="5"/>
  <c r="K26" i="5" s="1"/>
  <c r="L23" i="5" s="1"/>
  <c r="L25" i="5" l="1"/>
  <c r="M25" i="5" s="1"/>
  <c r="L24" i="5"/>
  <c r="M24" i="5" s="1"/>
  <c r="M23" i="5"/>
  <c r="L26" i="5" l="1"/>
</calcChain>
</file>

<file path=xl/sharedStrings.xml><?xml version="1.0" encoding="utf-8"?>
<sst xmlns="http://schemas.openxmlformats.org/spreadsheetml/2006/main" count="40" uniqueCount="40">
  <si>
    <t>($m)</t>
  </si>
  <si>
    <t>Total expected 2019 – 28/29</t>
  </si>
  <si>
    <t>Total IVL revenue</t>
  </si>
  <si>
    <t>Actual</t>
  </si>
  <si>
    <t>Forecast</t>
  </si>
  <si>
    <t>2019/20</t>
  </si>
  <si>
    <t>2020/21</t>
  </si>
  <si>
    <t>2021/22</t>
  </si>
  <si>
    <t>2022/23</t>
  </si>
  <si>
    <t>2023/24</t>
  </si>
  <si>
    <t>2024/25</t>
  </si>
  <si>
    <t>2025/26</t>
  </si>
  <si>
    <t>2026/27</t>
  </si>
  <si>
    <t>2027/28</t>
  </si>
  <si>
    <t>2028/29</t>
  </si>
  <si>
    <t>Tourism New Zealand baseline</t>
  </si>
  <si>
    <t>Department of Conservation baseline</t>
  </si>
  <si>
    <t>Total IVL revenue remaining at end of financial year</t>
  </si>
  <si>
    <t>Conservation ($55 million p/a)</t>
  </si>
  <si>
    <t>Tourism New Zealand baseline (Budget 2024)</t>
  </si>
  <si>
    <r>
      <t>Estimated IVL Revenue and Expenditure: 2019/20 - 2028/29</t>
    </r>
    <r>
      <rPr>
        <b/>
        <vertAlign val="superscript"/>
        <sz val="16"/>
        <color theme="1"/>
        <rFont val="Arial"/>
        <family val="2"/>
      </rPr>
      <t>1</t>
    </r>
  </si>
  <si>
    <t>Ngā Haerenga, the New Zealand Cycle Trail Fund (Budget 24)</t>
  </si>
  <si>
    <r>
      <rPr>
        <vertAlign val="superscript"/>
        <sz val="11"/>
        <color theme="1"/>
        <rFont val="Arial"/>
        <family val="2"/>
      </rPr>
      <t>3</t>
    </r>
    <r>
      <rPr>
        <sz val="11"/>
        <color theme="1"/>
        <rFont val="Arial"/>
        <family val="2"/>
      </rPr>
      <t xml:space="preserve"> </t>
    </r>
    <r>
      <rPr>
        <sz val="9"/>
        <color theme="1"/>
        <rFont val="Arial"/>
        <family val="2"/>
      </rPr>
      <t>Technical adjustment of conservation expenditure to occur end of 2025/26</t>
    </r>
  </si>
  <si>
    <r>
      <t>Remaining revenue to be allocated to existing activities/Crown costs in the future</t>
    </r>
    <r>
      <rPr>
        <b/>
        <vertAlign val="superscript"/>
        <sz val="10"/>
        <color theme="1"/>
        <rFont val="Aptos"/>
        <family val="2"/>
      </rPr>
      <t>4</t>
    </r>
  </si>
  <si>
    <r>
      <rPr>
        <vertAlign val="superscript"/>
        <sz val="11"/>
        <color theme="1"/>
        <rFont val="Arial"/>
        <family val="2"/>
      </rPr>
      <t>2</t>
    </r>
    <r>
      <rPr>
        <sz val="11"/>
        <color theme="1"/>
        <rFont val="Arial"/>
        <family val="2"/>
      </rPr>
      <t xml:space="preserve"> </t>
    </r>
    <r>
      <rPr>
        <sz val="9"/>
        <color theme="1"/>
        <rFont val="Arial"/>
        <family val="2"/>
      </rPr>
      <t>Includes Tourism New Zealand projects announced in 2024/25</t>
    </r>
  </si>
  <si>
    <t>Tourism administration fees (Incl bank fees)</t>
  </si>
  <si>
    <t>Tourism pre-committed projects (Budget 25)</t>
  </si>
  <si>
    <t>Tourism IVL expenditure (incl. pre-commitments)</t>
  </si>
  <si>
    <t>Tourism Total IVL</t>
  </si>
  <si>
    <t>Conservation IVL expenditure (incl. pre-commitments)</t>
  </si>
  <si>
    <t>Conservation pre-committed projects (Budget 25)</t>
  </si>
  <si>
    <t>Conservation Total IVL</t>
  </si>
  <si>
    <r>
      <t>Conservation spending to date</t>
    </r>
    <r>
      <rPr>
        <vertAlign val="superscript"/>
        <sz val="10"/>
        <color theme="1"/>
        <rFont val="Aptos"/>
        <family val="2"/>
      </rPr>
      <t>3</t>
    </r>
  </si>
  <si>
    <t>Conservation administration fees</t>
  </si>
  <si>
    <r>
      <t xml:space="preserve">Tourism spending to date </t>
    </r>
    <r>
      <rPr>
        <vertAlign val="superscript"/>
        <sz val="10"/>
        <color theme="1"/>
        <rFont val="Aptos"/>
        <family val="2"/>
      </rPr>
      <t>2</t>
    </r>
  </si>
  <si>
    <r>
      <t>Total appropriation for new spend</t>
    </r>
    <r>
      <rPr>
        <b/>
        <vertAlign val="superscript"/>
        <sz val="10"/>
        <color theme="1"/>
        <rFont val="Aptos"/>
        <family val="2"/>
      </rPr>
      <t>4</t>
    </r>
  </si>
  <si>
    <t>Tourism (35 million p/a)</t>
  </si>
  <si>
    <r>
      <rPr>
        <vertAlign val="superscript"/>
        <sz val="9"/>
        <color theme="1"/>
        <rFont val="Arial"/>
        <family val="2"/>
      </rPr>
      <t>4</t>
    </r>
    <r>
      <rPr>
        <sz val="9"/>
        <color theme="1"/>
        <rFont val="Arial"/>
        <family val="2"/>
      </rPr>
      <t xml:space="preserve"> IVL briefings relating to new spend appropriations and remaining revenue allocations have been proactively released and can be found here: </t>
    </r>
  </si>
  <si>
    <t>https://www.mbie.govt.nz/document-library/search?keywords=ivleta&amp;df=&amp;dt=&amp;sort=</t>
  </si>
  <si>
    <r>
      <rPr>
        <vertAlign val="superscript"/>
        <sz val="9"/>
        <color theme="1"/>
        <rFont val="Aptos"/>
        <family val="2"/>
      </rPr>
      <t>1</t>
    </r>
    <r>
      <rPr>
        <sz val="9"/>
        <color theme="1"/>
        <rFont val="Aptos"/>
        <family val="2"/>
      </rPr>
      <t xml:space="preserve"> As at 1 July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</si>
</sst>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.000_-;\-* #,##0.000_-;_-* &quot;-&quot;??_-;_-@_-"/>
    <numFmt numFmtId="165" formatCode="0.000"/>
    <numFmt numFmtId="166" formatCode="_-* #,##0.000_-;\(#,##0.000\);_-* &quot;-&quot;??_-;_-@_-"/>
  </numFmts>
  <fonts count="17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Aptos"/>
      <family val="2"/>
    </font>
    <font>
      <sz val="10"/>
      <color theme="1"/>
      <name val="Aptos"/>
      <family val="2"/>
    </font>
    <font>
      <b/>
      <sz val="16"/>
      <color theme="1"/>
      <name val="Arial"/>
      <family val="2"/>
    </font>
    <font>
      <b/>
      <vertAlign val="superscript"/>
      <sz val="10"/>
      <color theme="1"/>
      <name val="Aptos"/>
      <family val="2"/>
    </font>
    <font>
      <vertAlign val="superscript"/>
      <sz val="11"/>
      <color theme="1"/>
      <name val="Arial"/>
      <family val="2"/>
    </font>
    <font>
      <sz val="9"/>
      <color theme="1"/>
      <name val="Arial"/>
      <family val="2"/>
    </font>
    <font>
      <vertAlign val="superscript"/>
      <sz val="10"/>
      <color theme="1"/>
      <name val="Aptos"/>
      <family val="2"/>
    </font>
    <font>
      <b/>
      <vertAlign val="superscript"/>
      <sz val="16"/>
      <color theme="1"/>
      <name val="Arial"/>
      <family val="2"/>
    </font>
    <font>
      <u/>
      <sz val="11"/>
      <color theme="10"/>
      <name val="Arial"/>
      <family val="2"/>
    </font>
    <font>
      <vertAlign val="superscript"/>
      <sz val="9"/>
      <color theme="1"/>
      <name val="Arial"/>
      <family val="2"/>
    </font>
    <font>
      <u/>
      <sz val="9"/>
      <color theme="10"/>
      <name val="Arial"/>
      <family val="2"/>
    </font>
    <font>
      <vertAlign val="superscript"/>
      <sz val="9"/>
      <color theme="1"/>
      <name val="Aptos"/>
      <family val="2"/>
    </font>
    <font>
      <sz val="9"/>
      <color theme="1"/>
      <name val="Aptos"/>
      <family val="2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12" fillId="0" borderId="0" applyNumberFormat="0" applyFill="0" applyBorder="0" applyAlignment="0" applyProtection="0"/>
  </cellStyleXfs>
  <cellXfs count="34">
    <xf numFmtId="0" fontId="0" fillId="0" borderId="0" xfId="0"/>
    <xf numFmtId="43" fontId="0" fillId="0" borderId="0" xfId="0" applyNumberFormat="1"/>
    <xf numFmtId="0" fontId="2" fillId="0" borderId="1" xfId="0" applyFont="1" applyBorder="1"/>
    <xf numFmtId="0" fontId="4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 indent="1"/>
    </xf>
    <xf numFmtId="0" fontId="4" fillId="0" borderId="0" xfId="0" applyFont="1" applyAlignment="1">
      <alignment vertical="center" wrapText="1"/>
    </xf>
    <xf numFmtId="165" fontId="0" fillId="0" borderId="0" xfId="0" applyNumberFormat="1"/>
    <xf numFmtId="0" fontId="0" fillId="0" borderId="0" xfId="0" applyAlignment="1">
      <alignment horizontal="left"/>
    </xf>
    <xf numFmtId="0" fontId="9" fillId="0" borderId="0" xfId="0" applyFont="1" applyAlignment="1">
      <alignment horizontal="left"/>
    </xf>
    <xf numFmtId="164" fontId="0" fillId="0" borderId="0" xfId="0" applyNumberFormat="1"/>
    <xf numFmtId="166" fontId="4" fillId="5" borderId="1" xfId="1" applyNumberFormat="1" applyFont="1" applyFill="1" applyBorder="1" applyAlignment="1">
      <alignment horizontal="right" vertical="center" wrapText="1"/>
    </xf>
    <xf numFmtId="166" fontId="4" fillId="2" borderId="1" xfId="1" applyNumberFormat="1" applyFont="1" applyFill="1" applyBorder="1" applyAlignment="1">
      <alignment horizontal="right" vertical="center" wrapText="1"/>
    </xf>
    <xf numFmtId="166" fontId="5" fillId="5" borderId="1" xfId="1" applyNumberFormat="1" applyFont="1" applyFill="1" applyBorder="1" applyAlignment="1">
      <alignment horizontal="right" vertical="center" wrapText="1"/>
    </xf>
    <xf numFmtId="166" fontId="5" fillId="0" borderId="1" xfId="1" applyNumberFormat="1" applyFont="1" applyFill="1" applyBorder="1" applyAlignment="1">
      <alignment horizontal="right" vertical="center" wrapText="1"/>
    </xf>
    <xf numFmtId="166" fontId="4" fillId="3" borderId="1" xfId="1" applyNumberFormat="1" applyFont="1" applyFill="1" applyBorder="1" applyAlignment="1">
      <alignment horizontal="right" vertical="center" wrapText="1"/>
    </xf>
    <xf numFmtId="166" fontId="5" fillId="3" borderId="1" xfId="1" applyNumberFormat="1" applyFont="1" applyFill="1" applyBorder="1" applyAlignment="1">
      <alignment horizontal="right" vertical="center" wrapText="1"/>
    </xf>
    <xf numFmtId="166" fontId="5" fillId="3" borderId="1" xfId="1" applyNumberFormat="1" applyFont="1" applyFill="1" applyBorder="1" applyAlignment="1">
      <alignment horizontal="right" vertical="center" wrapText="1" indent="2"/>
    </xf>
    <xf numFmtId="166" fontId="4" fillId="0" borderId="1" xfId="1" applyNumberFormat="1" applyFont="1" applyFill="1" applyBorder="1" applyAlignment="1">
      <alignment horizontal="right" vertical="center" wrapText="1"/>
    </xf>
    <xf numFmtId="166" fontId="4" fillId="0" borderId="1" xfId="1" applyNumberFormat="1" applyFont="1" applyBorder="1" applyAlignment="1">
      <alignment horizontal="right" vertical="center" wrapText="1"/>
    </xf>
    <xf numFmtId="166" fontId="5" fillId="0" borderId="0" xfId="0" applyNumberFormat="1" applyFont="1"/>
    <xf numFmtId="166" fontId="0" fillId="0" borderId="0" xfId="0" applyNumberFormat="1"/>
    <xf numFmtId="0" fontId="14" fillId="0" borderId="0" xfId="3" applyFont="1"/>
    <xf numFmtId="0" fontId="16" fillId="0" borderId="0" xfId="0" applyFont="1" applyAlignment="1">
      <alignment horizontal="left"/>
    </xf>
    <xf numFmtId="0" fontId="6" fillId="0" borderId="7" xfId="0" applyFont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4" borderId="1" xfId="0" applyFont="1" applyFill="1" applyBorder="1" applyAlignment="1">
      <alignment horizontal="right" vertical="center" wrapText="1"/>
    </xf>
    <xf numFmtId="0" fontId="4" fillId="4" borderId="3" xfId="0" applyFont="1" applyFill="1" applyBorder="1" applyAlignment="1">
      <alignment horizontal="right" vertical="center" wrapText="1"/>
    </xf>
    <xf numFmtId="0" fontId="4" fillId="4" borderId="4" xfId="0" applyFont="1" applyFill="1" applyBorder="1" applyAlignment="1">
      <alignment horizontal="right" vertical="center" wrapText="1"/>
    </xf>
    <xf numFmtId="0" fontId="4" fillId="2" borderId="1" xfId="0" applyFont="1" applyFill="1" applyBorder="1" applyAlignment="1">
      <alignment horizontal="right" vertical="center" wrapText="1"/>
    </xf>
  </cellXfs>
  <cellStyles count="4">
    <cellStyle name="Comma" xfId="1" builtinId="3"/>
    <cellStyle name="Hyperlink" xfId="3" builtinId="8"/>
    <cellStyle name="Normal" xfId="0" builtinId="0"/>
    <cellStyle name="Normal 4 2 2 2 2 3" xfId="2" xr:uid="{88D6EB04-1BB8-4890-BDA4-77B10F0EB5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bie.govt.nz/document-library/search?keywords=ivleta&amp;df=&amp;dt=&amp;sort=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C7A070-774A-4B7D-9A4F-3B29A93E226A}">
  <dimension ref="B1:P32"/>
  <sheetViews>
    <sheetView tabSelected="1" zoomScale="110" zoomScaleNormal="110" workbookViewId="0">
      <selection activeCell="B1" sqref="B1:O1"/>
    </sheetView>
  </sheetViews>
  <sheetFormatPr defaultRowHeight="14.25" outlineLevelCol="1" x14ac:dyDescent="0.2"/>
  <cols>
    <col min="1" max="1" width="7" customWidth="1"/>
    <col min="2" max="2" width="47.875" customWidth="1"/>
    <col min="3" max="12" width="9.375" customWidth="1"/>
    <col min="13" max="13" width="12.625" customWidth="1"/>
    <col min="14" max="14" width="9.375" hidden="1" customWidth="1" outlineLevel="1"/>
    <col min="15" max="15" width="10.375" customWidth="1" collapsed="1"/>
  </cols>
  <sheetData>
    <row r="1" spans="2:15" ht="23.25" x14ac:dyDescent="0.3">
      <c r="B1" s="23" t="s">
        <v>20</v>
      </c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</row>
    <row r="2" spans="2:15" x14ac:dyDescent="0.2">
      <c r="B2" s="2"/>
      <c r="C2" s="24" t="s">
        <v>3</v>
      </c>
      <c r="D2" s="24"/>
      <c r="E2" s="24"/>
      <c r="F2" s="24"/>
      <c r="G2" s="24"/>
      <c r="H2" s="24"/>
      <c r="I2" s="25" t="s">
        <v>4</v>
      </c>
      <c r="J2" s="26"/>
      <c r="K2" s="26"/>
      <c r="L2" s="26"/>
      <c r="M2" s="27"/>
    </row>
    <row r="3" spans="2:15" x14ac:dyDescent="0.2">
      <c r="B3" s="28" t="s">
        <v>0</v>
      </c>
      <c r="C3" s="30" t="s">
        <v>5</v>
      </c>
      <c r="D3" s="30" t="s">
        <v>6</v>
      </c>
      <c r="E3" s="30" t="s">
        <v>7</v>
      </c>
      <c r="F3" s="30" t="s">
        <v>8</v>
      </c>
      <c r="G3" s="30" t="s">
        <v>9</v>
      </c>
      <c r="H3" s="31" t="s">
        <v>10</v>
      </c>
      <c r="I3" s="33" t="s">
        <v>11</v>
      </c>
      <c r="J3" s="33" t="s">
        <v>12</v>
      </c>
      <c r="K3" s="33" t="s">
        <v>13</v>
      </c>
      <c r="L3" s="33" t="s">
        <v>14</v>
      </c>
      <c r="M3" s="33" t="s">
        <v>1</v>
      </c>
    </row>
    <row r="4" spans="2:15" ht="15.95" customHeight="1" x14ac:dyDescent="0.2">
      <c r="B4" s="29"/>
      <c r="C4" s="30"/>
      <c r="D4" s="30"/>
      <c r="E4" s="30"/>
      <c r="F4" s="30"/>
      <c r="G4" s="30"/>
      <c r="H4" s="32"/>
      <c r="I4" s="33"/>
      <c r="J4" s="33"/>
      <c r="K4" s="33"/>
      <c r="L4" s="33"/>
      <c r="M4" s="33"/>
    </row>
    <row r="5" spans="2:15" x14ac:dyDescent="0.2">
      <c r="B5" s="3" t="s">
        <v>2</v>
      </c>
      <c r="C5" s="10">
        <v>57.162999999999997</v>
      </c>
      <c r="D5" s="10">
        <v>2.6920000000000002</v>
      </c>
      <c r="E5" s="10">
        <v>3.3140000000000001</v>
      </c>
      <c r="F5" s="10">
        <v>44.871000000000002</v>
      </c>
      <c r="G5" s="10">
        <v>62.509</v>
      </c>
      <c r="H5" s="10">
        <v>145.976</v>
      </c>
      <c r="I5" s="11">
        <v>190</v>
      </c>
      <c r="J5" s="11">
        <v>229</v>
      </c>
      <c r="K5" s="11">
        <v>229</v>
      </c>
      <c r="L5" s="11">
        <v>229</v>
      </c>
      <c r="M5" s="11">
        <f>SUM(C5:L5)</f>
        <v>1193.5250000000001</v>
      </c>
      <c r="N5" s="9">
        <f>SUM(C5:H5)</f>
        <v>316.52499999999998</v>
      </c>
    </row>
    <row r="6" spans="2:15" x14ac:dyDescent="0.2">
      <c r="B6" s="3" t="s">
        <v>27</v>
      </c>
      <c r="C6" s="10"/>
      <c r="D6" s="10"/>
      <c r="E6" s="10"/>
      <c r="F6" s="10"/>
      <c r="G6" s="10"/>
      <c r="H6" s="10"/>
      <c r="I6" s="10"/>
      <c r="J6" s="10"/>
      <c r="K6" s="10"/>
      <c r="L6" s="10"/>
      <c r="M6" s="12"/>
    </row>
    <row r="7" spans="2:15" ht="15" x14ac:dyDescent="0.2">
      <c r="B7" s="4" t="s">
        <v>34</v>
      </c>
      <c r="C7" s="13">
        <v>-3.17</v>
      </c>
      <c r="D7" s="13">
        <v>-6.7279999999999998</v>
      </c>
      <c r="E7" s="13">
        <v>-2.0910000000000002</v>
      </c>
      <c r="F7" s="13">
        <v>-6.2549999999999999</v>
      </c>
      <c r="G7" s="13">
        <v>-1.998</v>
      </c>
      <c r="H7" s="13">
        <f>-9.614+-17</f>
        <v>-26.614000000000001</v>
      </c>
      <c r="I7" s="13">
        <f>-47.692+6.833</f>
        <v>-40.859000000000002</v>
      </c>
      <c r="J7" s="13">
        <f>-2.396+1.09</f>
        <v>-1.3059999999999998</v>
      </c>
      <c r="K7" s="13">
        <f>-0.5+0.5</f>
        <v>0</v>
      </c>
      <c r="L7" s="13">
        <v>0</v>
      </c>
      <c r="M7" s="13">
        <f>SUM(C7:L7)</f>
        <v>-89.021000000000001</v>
      </c>
    </row>
    <row r="8" spans="2:15" x14ac:dyDescent="0.2">
      <c r="B8" s="4" t="s">
        <v>25</v>
      </c>
      <c r="C8" s="13">
        <v>-1.72</v>
      </c>
      <c r="D8" s="13">
        <v>-0.78700000000000003</v>
      </c>
      <c r="E8" s="13">
        <v>-0.61699999999999999</v>
      </c>
      <c r="F8" s="13">
        <v>-1.36</v>
      </c>
      <c r="G8" s="13">
        <v>-1.5209999999999999</v>
      </c>
      <c r="H8" s="13">
        <v>-2.742</v>
      </c>
      <c r="I8" s="13"/>
      <c r="J8" s="13"/>
      <c r="K8" s="13"/>
      <c r="L8" s="13"/>
      <c r="M8" s="13"/>
    </row>
    <row r="9" spans="2:15" x14ac:dyDescent="0.2">
      <c r="B9" s="4" t="s">
        <v>21</v>
      </c>
      <c r="C9" s="13"/>
      <c r="D9" s="13"/>
      <c r="E9" s="13"/>
      <c r="F9" s="13"/>
      <c r="G9" s="13"/>
      <c r="H9" s="13">
        <v>-8</v>
      </c>
      <c r="I9" s="13">
        <v>-8</v>
      </c>
      <c r="J9" s="13">
        <v>-8</v>
      </c>
      <c r="K9" s="13">
        <v>-8</v>
      </c>
      <c r="L9" s="13">
        <v>-8</v>
      </c>
      <c r="M9" s="13">
        <f>SUM(H9:L9)</f>
        <v>-40</v>
      </c>
    </row>
    <row r="10" spans="2:15" x14ac:dyDescent="0.2">
      <c r="B10" s="4" t="s">
        <v>19</v>
      </c>
      <c r="C10" s="13"/>
      <c r="D10" s="13"/>
      <c r="E10" s="13"/>
      <c r="F10" s="13"/>
      <c r="G10" s="13"/>
      <c r="H10" s="13">
        <v>-0.14499999999999999</v>
      </c>
      <c r="I10" s="13">
        <v>-2.4E-2</v>
      </c>
      <c r="J10" s="13">
        <v>-13.898999999999999</v>
      </c>
      <c r="K10" s="13">
        <v>-13.898999999999999</v>
      </c>
      <c r="L10" s="13">
        <v>-13.898999999999999</v>
      </c>
      <c r="M10" s="13">
        <f>SUM(H10:L10)</f>
        <v>-41.866</v>
      </c>
    </row>
    <row r="11" spans="2:15" x14ac:dyDescent="0.2">
      <c r="B11" s="4" t="s">
        <v>26</v>
      </c>
      <c r="C11" s="12"/>
      <c r="D11" s="12"/>
      <c r="E11" s="12"/>
      <c r="F11" s="12"/>
      <c r="G11" s="12"/>
      <c r="H11" s="12">
        <v>-8.423</v>
      </c>
      <c r="I11" s="13"/>
      <c r="J11" s="13"/>
      <c r="K11" s="13"/>
      <c r="L11" s="13"/>
      <c r="M11" s="13">
        <f t="shared" ref="M11:M12" si="0">SUM(H11:L11)</f>
        <v>-8.423</v>
      </c>
    </row>
    <row r="12" spans="2:15" x14ac:dyDescent="0.2">
      <c r="B12" s="3" t="s">
        <v>28</v>
      </c>
      <c r="C12" s="10">
        <f t="shared" ref="C12:L12" si="1">SUM(C7:C11)</f>
        <v>-4.8899999999999997</v>
      </c>
      <c r="D12" s="10">
        <f t="shared" si="1"/>
        <v>-7.5149999999999997</v>
      </c>
      <c r="E12" s="10">
        <f t="shared" si="1"/>
        <v>-2.7080000000000002</v>
      </c>
      <c r="F12" s="10">
        <f t="shared" si="1"/>
        <v>-7.6150000000000002</v>
      </c>
      <c r="G12" s="10">
        <f t="shared" si="1"/>
        <v>-3.5190000000000001</v>
      </c>
      <c r="H12" s="10">
        <f t="shared" si="1"/>
        <v>-45.924000000000007</v>
      </c>
      <c r="I12" s="10">
        <f t="shared" si="1"/>
        <v>-48.883000000000003</v>
      </c>
      <c r="J12" s="10">
        <f t="shared" si="1"/>
        <v>-23.204999999999998</v>
      </c>
      <c r="K12" s="10">
        <f t="shared" si="1"/>
        <v>-21.899000000000001</v>
      </c>
      <c r="L12" s="10">
        <f t="shared" si="1"/>
        <v>-21.899000000000001</v>
      </c>
      <c r="M12" s="13">
        <f t="shared" si="0"/>
        <v>-161.81</v>
      </c>
      <c r="N12" s="9">
        <f>SUM(C12:H12)</f>
        <v>-72.171000000000006</v>
      </c>
    </row>
    <row r="13" spans="2:15" x14ac:dyDescent="0.2">
      <c r="B13" s="3"/>
      <c r="C13" s="10"/>
      <c r="D13" s="10"/>
      <c r="E13" s="10"/>
      <c r="F13" s="10"/>
      <c r="G13" s="10"/>
      <c r="H13" s="10"/>
      <c r="I13" s="13"/>
      <c r="J13" s="13"/>
      <c r="K13" s="13"/>
      <c r="L13" s="13"/>
      <c r="M13" s="13"/>
    </row>
    <row r="14" spans="2:15" x14ac:dyDescent="0.2">
      <c r="B14" s="3" t="s">
        <v>29</v>
      </c>
      <c r="C14" s="12"/>
      <c r="D14" s="12"/>
      <c r="E14" s="12"/>
      <c r="F14" s="12"/>
      <c r="G14" s="12"/>
      <c r="H14" s="12"/>
      <c r="I14" s="13"/>
      <c r="J14" s="13"/>
      <c r="K14" s="13"/>
      <c r="L14" s="13"/>
      <c r="M14" s="13"/>
    </row>
    <row r="15" spans="2:15" ht="15" x14ac:dyDescent="0.2">
      <c r="B15" s="4" t="s">
        <v>32</v>
      </c>
      <c r="C15" s="12">
        <f>-3.482+0.546</f>
        <v>-2.9359999999999999</v>
      </c>
      <c r="D15" s="12">
        <f>-6.085+0.4</f>
        <v>-5.6849999999999996</v>
      </c>
      <c r="E15" s="12">
        <f>-6.398+0.4</f>
        <v>-5.9979999999999993</v>
      </c>
      <c r="F15" s="12">
        <f>-3.72+0.4</f>
        <v>-3.3200000000000003</v>
      </c>
      <c r="G15" s="12">
        <f>-16.315+0.4</f>
        <v>-15.915000000000001</v>
      </c>
      <c r="H15" s="13">
        <f>-18.742+0.573</f>
        <v>-18.169</v>
      </c>
      <c r="I15" s="13">
        <v>-57.982999999999997</v>
      </c>
      <c r="J15" s="13">
        <v>-36.659999999999997</v>
      </c>
      <c r="K15" s="13">
        <v>-20.07</v>
      </c>
      <c r="L15" s="13">
        <v>-1.577</v>
      </c>
      <c r="M15" s="13">
        <f>SUM(C15:L15)</f>
        <v>-168.31299999999999</v>
      </c>
    </row>
    <row r="16" spans="2:15" x14ac:dyDescent="0.2">
      <c r="B16" s="4" t="s">
        <v>33</v>
      </c>
      <c r="C16" s="12">
        <v>-0.54600000000000004</v>
      </c>
      <c r="D16" s="12">
        <v>-0.4</v>
      </c>
      <c r="E16" s="12">
        <v>-0.4</v>
      </c>
      <c r="F16" s="12">
        <v>-0.4</v>
      </c>
      <c r="G16" s="12">
        <v>-0.4</v>
      </c>
      <c r="H16" s="13">
        <v>-0.57299999999999995</v>
      </c>
      <c r="I16" s="13">
        <v>-4.258</v>
      </c>
      <c r="J16" s="13">
        <v>-4.2569999999999997</v>
      </c>
      <c r="K16" s="13">
        <v>-4.2560000000000002</v>
      </c>
      <c r="L16" s="13">
        <v>-4.2560000000000002</v>
      </c>
      <c r="M16" s="13">
        <f>SUM(C16:L16)</f>
        <v>-19.746000000000002</v>
      </c>
    </row>
    <row r="17" spans="2:16" x14ac:dyDescent="0.2">
      <c r="B17" s="4" t="s">
        <v>30</v>
      </c>
      <c r="C17" s="12"/>
      <c r="D17" s="12"/>
      <c r="E17" s="12"/>
      <c r="F17" s="12"/>
      <c r="G17" s="12"/>
      <c r="H17" s="13">
        <v>-32</v>
      </c>
      <c r="I17" s="13"/>
      <c r="J17" s="13"/>
      <c r="K17" s="13"/>
      <c r="L17" s="13"/>
      <c r="M17" s="13">
        <f>SUM(C17:L17)</f>
        <v>-32</v>
      </c>
    </row>
    <row r="18" spans="2:16" x14ac:dyDescent="0.2">
      <c r="B18" s="3" t="s">
        <v>31</v>
      </c>
      <c r="C18" s="10">
        <f>SUM(C15:C17)</f>
        <v>-3.4820000000000002</v>
      </c>
      <c r="D18" s="10">
        <f t="shared" ref="D18:G18" si="2">SUM(D15:D17)</f>
        <v>-6.085</v>
      </c>
      <c r="E18" s="10">
        <f t="shared" si="2"/>
        <v>-6.3979999999999997</v>
      </c>
      <c r="F18" s="10">
        <f t="shared" si="2"/>
        <v>-3.72</v>
      </c>
      <c r="G18" s="10">
        <f t="shared" si="2"/>
        <v>-16.315000000000001</v>
      </c>
      <c r="H18" s="10">
        <f>SUM(H15:H17)</f>
        <v>-50.742000000000004</v>
      </c>
      <c r="I18" s="10">
        <f t="shared" ref="I18:M18" si="3">SUM(I15:I17)</f>
        <v>-62.241</v>
      </c>
      <c r="J18" s="10">
        <f t="shared" si="3"/>
        <v>-40.916999999999994</v>
      </c>
      <c r="K18" s="10">
        <f t="shared" si="3"/>
        <v>-24.326000000000001</v>
      </c>
      <c r="L18" s="10">
        <f t="shared" si="3"/>
        <v>-5.8330000000000002</v>
      </c>
      <c r="M18" s="10">
        <f t="shared" si="3"/>
        <v>-220.059</v>
      </c>
      <c r="N18" s="9">
        <f>SUM(C18:H18)</f>
        <v>-86.742000000000004</v>
      </c>
      <c r="O18" s="1"/>
    </row>
    <row r="19" spans="2:16" x14ac:dyDescent="0.2">
      <c r="B19" s="3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9"/>
      <c r="O19" s="1"/>
    </row>
    <row r="20" spans="2:16" ht="15" x14ac:dyDescent="0.2">
      <c r="B20" s="3" t="s">
        <v>35</v>
      </c>
      <c r="C20" s="14"/>
      <c r="D20" s="14"/>
      <c r="E20" s="14"/>
      <c r="F20" s="14"/>
      <c r="G20" s="14"/>
      <c r="H20" s="14"/>
      <c r="I20" s="10">
        <v>90</v>
      </c>
      <c r="J20" s="10">
        <v>90</v>
      </c>
      <c r="K20" s="10">
        <v>90</v>
      </c>
      <c r="L20" s="10">
        <v>90</v>
      </c>
      <c r="M20" s="10">
        <f>SUM(I20:L20)</f>
        <v>360</v>
      </c>
    </row>
    <row r="21" spans="2:16" x14ac:dyDescent="0.2">
      <c r="B21" s="4" t="s">
        <v>36</v>
      </c>
      <c r="C21" s="15"/>
      <c r="D21" s="15"/>
      <c r="E21" s="15"/>
      <c r="F21" s="15"/>
      <c r="G21" s="15"/>
      <c r="H21" s="15"/>
      <c r="I21" s="12">
        <v>35</v>
      </c>
      <c r="J21" s="13">
        <v>35</v>
      </c>
      <c r="K21" s="13">
        <v>35</v>
      </c>
      <c r="L21" s="12">
        <v>35</v>
      </c>
      <c r="M21" s="12">
        <f>SUM(I21:L21)</f>
        <v>140</v>
      </c>
    </row>
    <row r="22" spans="2:16" x14ac:dyDescent="0.2">
      <c r="B22" s="4" t="s">
        <v>18</v>
      </c>
      <c r="C22" s="16"/>
      <c r="D22" s="16"/>
      <c r="E22" s="16"/>
      <c r="F22" s="16"/>
      <c r="G22" s="16"/>
      <c r="H22" s="16"/>
      <c r="I22" s="12">
        <v>55</v>
      </c>
      <c r="J22" s="12">
        <v>55</v>
      </c>
      <c r="K22" s="12">
        <v>55</v>
      </c>
      <c r="L22" s="12">
        <v>55</v>
      </c>
      <c r="M22" s="12">
        <f>SUM(I22:L22)</f>
        <v>220</v>
      </c>
    </row>
    <row r="23" spans="2:16" ht="28.5" x14ac:dyDescent="0.2">
      <c r="B23" s="3" t="s">
        <v>23</v>
      </c>
      <c r="C23" s="16"/>
      <c r="D23" s="16"/>
      <c r="E23" s="16"/>
      <c r="F23" s="16"/>
      <c r="G23" s="16"/>
      <c r="H23" s="17">
        <f>G26+H5+H12+H18</f>
        <v>157.61199999999997</v>
      </c>
      <c r="I23" s="17">
        <f>H26+I5+I12+I18</f>
        <v>78.875999999999991</v>
      </c>
      <c r="J23" s="17">
        <f t="shared" ref="J23:L23" si="4">I26+J5+J12+J18</f>
        <v>164.87800000000001</v>
      </c>
      <c r="K23" s="17">
        <f t="shared" si="4"/>
        <v>182.77500000000001</v>
      </c>
      <c r="L23" s="17">
        <f t="shared" si="4"/>
        <v>201.268</v>
      </c>
      <c r="M23" s="17">
        <f>SUM(H23:L23)</f>
        <v>785.40899999999999</v>
      </c>
    </row>
    <row r="24" spans="2:16" x14ac:dyDescent="0.2">
      <c r="B24" s="4" t="s">
        <v>15</v>
      </c>
      <c r="C24" s="16"/>
      <c r="D24" s="16"/>
      <c r="E24" s="16"/>
      <c r="F24" s="16"/>
      <c r="G24" s="16"/>
      <c r="H24" s="13">
        <f>-N18+N12+((H23+N18+-N12))/2</f>
        <v>86.091499999999982</v>
      </c>
      <c r="I24" s="13">
        <f>((-I18+I12)+20)+(((I23-((-I18+I12)+20)))/2)</f>
        <v>56.11699999999999</v>
      </c>
      <c r="J24" s="13">
        <f>((-J18+J12)+20)+(((J23-((-J18+J12)+20)))/2)</f>
        <v>101.29500000000002</v>
      </c>
      <c r="K24" s="13">
        <f>((-K18+K12)+20)+(((K23-((-K18+K12)+20)))/2)</f>
        <v>102.601</v>
      </c>
      <c r="L24" s="13">
        <f>((-L18+L12)+20)+(((L23-((-L18+L12)+20)))/2)</f>
        <v>102.601</v>
      </c>
      <c r="M24" s="13">
        <f>SUM(H24:L24)</f>
        <v>448.70549999999997</v>
      </c>
      <c r="O24" s="1"/>
      <c r="P24" s="1"/>
    </row>
    <row r="25" spans="2:16" x14ac:dyDescent="0.2">
      <c r="B25" s="4" t="s">
        <v>16</v>
      </c>
      <c r="C25" s="16"/>
      <c r="D25" s="16"/>
      <c r="E25" s="16"/>
      <c r="F25" s="16"/>
      <c r="G25" s="16"/>
      <c r="H25" s="13">
        <f>(H23+N18+-N12)/2</f>
        <v>71.520499999999984</v>
      </c>
      <c r="I25" s="13">
        <f>(((I23-((-I18+I12)+20)))/2)</f>
        <v>22.758999999999997</v>
      </c>
      <c r="J25" s="13">
        <f>(((J23-((-J18+J12)+20)))/2)</f>
        <v>63.583000000000013</v>
      </c>
      <c r="K25" s="13">
        <f>(((K23-((-K18+K12)+20)))/2)</f>
        <v>80.174000000000007</v>
      </c>
      <c r="L25" s="13">
        <f>(((L23-((-L18+L12)+20)))/2)</f>
        <v>98.667000000000002</v>
      </c>
      <c r="M25" s="13">
        <f>SUM(H25:L25)</f>
        <v>336.70350000000002</v>
      </c>
    </row>
    <row r="26" spans="2:16" x14ac:dyDescent="0.2">
      <c r="B26" s="3" t="s">
        <v>17</v>
      </c>
      <c r="C26" s="18">
        <f>+C5+C12+C18</f>
        <v>48.790999999999997</v>
      </c>
      <c r="D26" s="18">
        <f>+C26+D5+D12+D18</f>
        <v>37.882999999999996</v>
      </c>
      <c r="E26" s="18">
        <f>+D26+E5+E12+E18</f>
        <v>32.090999999999994</v>
      </c>
      <c r="F26" s="18">
        <f>+E26+F5+F12+F18</f>
        <v>65.626999999999995</v>
      </c>
      <c r="G26" s="18">
        <f>+F26+G5+G12+G18</f>
        <v>108.30199999999999</v>
      </c>
      <c r="H26" s="18">
        <f>H23-H24-H25</f>
        <v>0</v>
      </c>
      <c r="I26" s="18">
        <f>I23-I24-I25</f>
        <v>0</v>
      </c>
      <c r="J26" s="18">
        <f t="shared" ref="J26:L26" si="5">J23-J24-J25</f>
        <v>0</v>
      </c>
      <c r="K26" s="18">
        <f t="shared" si="5"/>
        <v>0</v>
      </c>
      <c r="L26" s="18">
        <f t="shared" si="5"/>
        <v>0</v>
      </c>
      <c r="M26" s="18"/>
      <c r="P26" s="1"/>
    </row>
    <row r="27" spans="2:16" ht="15" x14ac:dyDescent="0.25">
      <c r="B27" s="5"/>
      <c r="C27" s="19"/>
      <c r="D27" s="19"/>
      <c r="E27" s="19"/>
      <c r="F27" s="19"/>
      <c r="G27" s="19"/>
      <c r="H27" s="19"/>
      <c r="I27" s="19"/>
      <c r="J27" s="20"/>
      <c r="K27" s="20"/>
      <c r="L27" s="20"/>
      <c r="M27" s="20"/>
    </row>
    <row r="28" spans="2:16" x14ac:dyDescent="0.2">
      <c r="B28" s="22" t="s">
        <v>39</v>
      </c>
      <c r="H28" s="9"/>
      <c r="I28" s="1"/>
    </row>
    <row r="29" spans="2:16" ht="16.5" x14ac:dyDescent="0.2">
      <c r="B29" s="7" t="s">
        <v>24</v>
      </c>
    </row>
    <row r="30" spans="2:16" ht="16.5" x14ac:dyDescent="0.2">
      <c r="B30" s="7" t="s">
        <v>22</v>
      </c>
      <c r="H30" s="6"/>
      <c r="I30" s="1"/>
      <c r="K30" s="1"/>
      <c r="L30" s="1"/>
      <c r="M30" s="1"/>
    </row>
    <row r="31" spans="2:16" x14ac:dyDescent="0.2">
      <c r="B31" s="8" t="s">
        <v>37</v>
      </c>
    </row>
    <row r="32" spans="2:16" x14ac:dyDescent="0.2">
      <c r="B32" s="21" t="s">
        <v>38</v>
      </c>
    </row>
  </sheetData>
  <mergeCells count="15">
    <mergeCell ref="B1:O1"/>
    <mergeCell ref="C2:H2"/>
    <mergeCell ref="I2:M2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</mergeCells>
  <hyperlinks>
    <hyperlink ref="B32" r:id="rId1" xr:uid="{3908DFC7-0729-4B3E-9346-6D01B81B8AE8}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As at July 25 (New version)</vt:lpstr>
    </vt:vector>
  </TitlesOfParts>
  <Company>Ministry of Business, Innovation and Employment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Harrison</dc:creator>
  <cp:lastModifiedBy>Sally Greenwood</cp:lastModifiedBy>
  <dcterms:created xsi:type="dcterms:W3CDTF">2025-05-20T01:43:05Z</dcterms:created>
  <dcterms:modified xsi:type="dcterms:W3CDTF">2025-10-15T22:20:26Z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fa2ea8f-33a2-4d89-bc10-4ca73b1a3f73_Enabled">
    <vt:lpwstr>true</vt:lpwstr>
  </property>
  <property fmtid="{D5CDD505-2E9C-101B-9397-08002B2CF9AE}" pid="3" name="MSIP_Label_ffa2ea8f-33a2-4d89-bc10-4ca73b1a3f73_SetDate">
    <vt:lpwstr>2025-05-20T04:05:26Z</vt:lpwstr>
  </property>
  <property fmtid="{D5CDD505-2E9C-101B-9397-08002B2CF9AE}" pid="4" name="MSIP_Label_ffa2ea8f-33a2-4d89-bc10-4ca73b1a3f73_Method">
    <vt:lpwstr>Privileged</vt:lpwstr>
  </property>
  <property fmtid="{D5CDD505-2E9C-101B-9397-08002B2CF9AE}" pid="5" name="MSIP_Label_ffa2ea8f-33a2-4d89-bc10-4ca73b1a3f73_Name">
    <vt:lpwstr>IN-CONFIDENCE</vt:lpwstr>
  </property>
  <property fmtid="{D5CDD505-2E9C-101B-9397-08002B2CF9AE}" pid="6" name="MSIP_Label_ffa2ea8f-33a2-4d89-bc10-4ca73b1a3f73_SiteId">
    <vt:lpwstr>78b2bd11-e42b-47ea-b011-2e04c3af5ec1</vt:lpwstr>
  </property>
  <property fmtid="{D5CDD505-2E9C-101B-9397-08002B2CF9AE}" pid="7" name="MSIP_Label_ffa2ea8f-33a2-4d89-bc10-4ca73b1a3f73_ActionId">
    <vt:lpwstr>7ee31871-cf3c-4df0-b6ab-0d2e0718777f</vt:lpwstr>
  </property>
  <property fmtid="{D5CDD505-2E9C-101B-9397-08002B2CF9AE}" pid="8" name="MSIP_Label_ffa2ea8f-33a2-4d89-bc10-4ca73b1a3f73_ContentBits">
    <vt:lpwstr>0</vt:lpwstr>
  </property>
</Properties>
</file>