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uzickJ\AppData\Local\OpenText\OTEdit\EC_MAKO\c184711112\"/>
    </mc:Choice>
  </mc:AlternateContent>
  <xr:revisionPtr revIDLastSave="0" documentId="13_ncr:1_{55C0D1A5-329D-4444-A466-1F652E9DF783}" xr6:coauthVersionLast="47" xr6:coauthVersionMax="47" xr10:uidLastSave="{00000000-0000-0000-0000-000000000000}"/>
  <bookViews>
    <workbookView xWindow="-120" yWindow="-120" windowWidth="29040" windowHeight="15720" xr2:uid="{00000000-000D-0000-FFFF-FFFF00000000}"/>
  </bookViews>
  <sheets>
    <sheet name="Contents" sheetId="12" r:id="rId1"/>
    <sheet name="Notes" sheetId="13" r:id="rId2"/>
    <sheet name="Glossary" sheetId="14" r:id="rId3"/>
    <sheet name="Activity" sheetId="11" r:id="rId4"/>
    <sheet name="Oil and Condensate" sheetId="2" r:id="rId5"/>
    <sheet name="Gas" sheetId="3" r:id="rId6"/>
    <sheet name="LPG" sheetId="4" r:id="rId7"/>
    <sheet name="Gas and LPG Combined" sheetId="5" r:id="rId8"/>
    <sheet name="Gas System Deliverability" sheetId="6" r:id="rId9"/>
    <sheet name="2C Resources" sheetId="7" r:id="rId10"/>
    <sheet name="Petroleum Initially in Place" sheetId="8" r:id="rId11"/>
    <sheet name="Oil Production Profile" sheetId="9" r:id="rId12"/>
    <sheet name="Gas Production Profile" sheetId="10" r:id="rId13"/>
    <sheet name="LPG Production Profile" sheetId="15"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6" i="11" l="1"/>
  <c r="Y46" i="11"/>
  <c r="X46" i="11"/>
  <c r="W46" i="11"/>
  <c r="V46" i="11"/>
  <c r="U46" i="11"/>
  <c r="T46" i="11"/>
  <c r="S46" i="11"/>
  <c r="R46" i="11"/>
  <c r="Q46" i="11"/>
  <c r="P46" i="11"/>
  <c r="O46" i="11"/>
  <c r="N46" i="11"/>
  <c r="M46" i="11"/>
  <c r="L46" i="11"/>
  <c r="K46" i="11"/>
  <c r="J46" i="11"/>
  <c r="I46" i="11"/>
  <c r="H46" i="11"/>
  <c r="G46" i="11"/>
  <c r="F46" i="11"/>
  <c r="E46" i="11"/>
  <c r="D46" i="11"/>
  <c r="C46" i="11"/>
  <c r="Z42" i="11"/>
  <c r="Y42" i="11"/>
  <c r="X42" i="11"/>
  <c r="W42" i="11"/>
  <c r="V42" i="11"/>
  <c r="U42" i="11"/>
  <c r="T42" i="11"/>
  <c r="S42" i="11"/>
  <c r="R42" i="11"/>
  <c r="Q42" i="11"/>
  <c r="Z37" i="11"/>
  <c r="Y37" i="11"/>
  <c r="X37" i="11"/>
  <c r="W37" i="11"/>
  <c r="V37" i="11"/>
  <c r="U37" i="11"/>
  <c r="T37" i="11"/>
  <c r="S37" i="11"/>
  <c r="R37" i="11"/>
  <c r="Q37" i="11"/>
  <c r="P32" i="11"/>
  <c r="O32" i="11"/>
  <c r="N32" i="11"/>
  <c r="M32" i="11"/>
  <c r="L32" i="11"/>
  <c r="K32" i="11"/>
  <c r="J32" i="11"/>
  <c r="I32" i="11"/>
  <c r="H32" i="11"/>
  <c r="G32" i="11"/>
  <c r="F32" i="11"/>
  <c r="E32" i="11"/>
  <c r="D32" i="11"/>
  <c r="C32" i="11"/>
  <c r="Z31" i="11"/>
  <c r="Z32" i="11" s="1"/>
  <c r="Y31" i="11"/>
  <c r="Y32" i="11" s="1"/>
  <c r="X31" i="11"/>
  <c r="X32" i="11" s="1"/>
  <c r="W31" i="11"/>
  <c r="W32" i="11" s="1"/>
  <c r="V31" i="11"/>
  <c r="V32" i="11" s="1"/>
  <c r="U31" i="11"/>
  <c r="U32" i="11" s="1"/>
  <c r="T31" i="11"/>
  <c r="T32" i="11" s="1"/>
  <c r="S31" i="11"/>
  <c r="S32" i="11" s="1"/>
  <c r="R31" i="11"/>
  <c r="R32" i="11" s="1"/>
  <c r="Q31" i="11"/>
  <c r="Q32" i="11" s="1"/>
  <c r="Z30" i="11"/>
  <c r="Y30" i="11"/>
  <c r="X30" i="11"/>
  <c r="W30" i="11"/>
  <c r="V30" i="11"/>
  <c r="U30" i="11"/>
  <c r="T30" i="11"/>
  <c r="S30" i="11"/>
  <c r="R30" i="11"/>
  <c r="Q30" i="11"/>
  <c r="Z28" i="11"/>
  <c r="P28" i="11"/>
  <c r="O28" i="11"/>
  <c r="N28" i="11"/>
  <c r="Z27" i="11"/>
  <c r="Y27" i="11"/>
  <c r="X27" i="11"/>
  <c r="W27" i="11"/>
  <c r="V27" i="11"/>
  <c r="U27" i="11"/>
  <c r="T27" i="11"/>
  <c r="S27" i="11"/>
  <c r="R27" i="11"/>
  <c r="Q27" i="11"/>
  <c r="Y26" i="11"/>
  <c r="Y28" i="11" s="1"/>
  <c r="X26" i="11"/>
  <c r="X28" i="11" s="1"/>
  <c r="W26" i="11"/>
  <c r="W28" i="11" s="1"/>
  <c r="V26" i="11"/>
  <c r="V28" i="11" s="1"/>
  <c r="U26" i="11"/>
  <c r="U28" i="11" s="1"/>
  <c r="T26" i="11"/>
  <c r="T28" i="11" s="1"/>
  <c r="S26" i="11"/>
  <c r="S28" i="11" s="1"/>
  <c r="R26" i="11"/>
  <c r="R28" i="11" s="1"/>
  <c r="Q26" i="11"/>
  <c r="Q28" i="11" s="1"/>
  <c r="Z19" i="11"/>
  <c r="P19" i="11"/>
  <c r="O19" i="11"/>
  <c r="N19" i="11"/>
  <c r="Y18" i="11"/>
  <c r="X18" i="11"/>
  <c r="W18" i="11"/>
  <c r="V18" i="11"/>
  <c r="U18" i="11"/>
  <c r="T18" i="11"/>
  <c r="S18" i="11"/>
  <c r="R18" i="11"/>
  <c r="Q18" i="11"/>
  <c r="Y17" i="11"/>
  <c r="W17" i="11"/>
  <c r="V17" i="11"/>
  <c r="S17" i="11"/>
  <c r="R17" i="11"/>
  <c r="Q17" i="11"/>
  <c r="Y16" i="11"/>
  <c r="Y19" i="11" s="1"/>
  <c r="X16" i="11"/>
  <c r="X19" i="11" s="1"/>
  <c r="W16" i="11"/>
  <c r="W19" i="11" s="1"/>
  <c r="V16" i="11"/>
  <c r="V19" i="11" s="1"/>
  <c r="U16" i="11"/>
  <c r="U19" i="11" s="1"/>
  <c r="T16" i="11"/>
  <c r="T19" i="11" s="1"/>
  <c r="S16" i="11"/>
  <c r="S19" i="11" s="1"/>
  <c r="R16" i="11"/>
  <c r="R19" i="11" s="1"/>
  <c r="Q16" i="11"/>
  <c r="Q19" i="11" s="1"/>
  <c r="Z14" i="11"/>
  <c r="Y14" i="11"/>
  <c r="X14" i="11"/>
  <c r="W14" i="11"/>
  <c r="V14" i="11"/>
  <c r="U14" i="11"/>
  <c r="T14" i="11"/>
  <c r="S14" i="11"/>
  <c r="R14" i="11"/>
  <c r="Q14" i="11"/>
  <c r="P14" i="11"/>
  <c r="O14" i="11"/>
  <c r="N14" i="11"/>
  <c r="M14" i="11"/>
  <c r="L14" i="11"/>
  <c r="K14" i="11"/>
  <c r="J14" i="11"/>
  <c r="I14" i="11"/>
  <c r="H14" i="11"/>
  <c r="G14" i="11"/>
  <c r="F14" i="11"/>
  <c r="E14" i="11"/>
  <c r="D14" i="11"/>
  <c r="C14" i="11"/>
  <c r="Z9" i="11"/>
  <c r="Y9" i="11"/>
  <c r="X9" i="11"/>
  <c r="W9" i="11"/>
  <c r="V9" i="11"/>
  <c r="U9" i="11"/>
  <c r="T9" i="11"/>
  <c r="S9" i="11"/>
  <c r="R9" i="11"/>
  <c r="Q9" i="11"/>
  <c r="P9" i="11"/>
  <c r="O9" i="11"/>
  <c r="N9" i="11"/>
  <c r="M9" i="11"/>
  <c r="L9" i="11"/>
  <c r="K9" i="11"/>
  <c r="J9" i="11"/>
  <c r="I9" i="11"/>
  <c r="H9" i="11"/>
  <c r="G9" i="11"/>
  <c r="F9" i="11"/>
  <c r="E9" i="11"/>
  <c r="D9" i="11"/>
  <c r="C9" i="11"/>
</calcChain>
</file>

<file path=xl/sharedStrings.xml><?xml version="1.0" encoding="utf-8"?>
<sst xmlns="http://schemas.openxmlformats.org/spreadsheetml/2006/main" count="531" uniqueCount="217">
  <si>
    <t>Field</t>
  </si>
  <si>
    <t>Type</t>
  </si>
  <si>
    <t>Ultimate Recoverable
(1P)</t>
  </si>
  <si>
    <t>Ultimate Recoverable
(2P)</t>
  </si>
  <si>
    <t>Ultimate Recoverable
(3P)</t>
  </si>
  <si>
    <t>Remaining Reserves
(1P)</t>
  </si>
  <si>
    <t>Remaining Reserves
(2P)</t>
  </si>
  <si>
    <t>Remaining Reserves
(3P)</t>
  </si>
  <si>
    <t>PJ</t>
  </si>
  <si>
    <t>kt</t>
  </si>
  <si>
    <t>Facility</t>
  </si>
  <si>
    <t>Maximum Deliverability</t>
  </si>
  <si>
    <t>Minimum Deliverability</t>
  </si>
  <si>
    <t>TJ/day</t>
  </si>
  <si>
    <t>TJ/hour</t>
  </si>
  <si>
    <t>Gas
(PJ)</t>
  </si>
  <si>
    <t>Liquids</t>
  </si>
  <si>
    <t>Gas</t>
  </si>
  <si>
    <t>P1</t>
  </si>
  <si>
    <t>P2</t>
  </si>
  <si>
    <t>P3</t>
  </si>
  <si>
    <t>MMbbl</t>
  </si>
  <si>
    <t>Bscf</t>
  </si>
  <si>
    <t>Exploration Wells</t>
  </si>
  <si>
    <t>Appraisal Wells</t>
  </si>
  <si>
    <t>Development Wells</t>
  </si>
  <si>
    <t>Total Wells Drilled</t>
  </si>
  <si>
    <t>Exploration Well Metres Made (mAH)</t>
  </si>
  <si>
    <t>Appraisal Wells Metres Made (mAH)</t>
  </si>
  <si>
    <t>Development Wells Metres Made (mAH)</t>
  </si>
  <si>
    <t>Total Metres Made</t>
  </si>
  <si>
    <t>Exploration Well Expenditure ($NZDm)</t>
  </si>
  <si>
    <t>Appraisal Well Expenditure ($NZDm)</t>
  </si>
  <si>
    <t>Development Well Expenditure ($NZDm)</t>
  </si>
  <si>
    <t>Total Well Expenditure ($NZDm)</t>
  </si>
  <si>
    <t>2-D Seismic Acquired (km)</t>
  </si>
  <si>
    <t>2-D Seismic Reprocessed (km)</t>
  </si>
  <si>
    <t>Acquisition Expenditure ($NZDm)</t>
  </si>
  <si>
    <t>Reprocessing Expenditure ($NZDm)</t>
  </si>
  <si>
    <t>Total Seismic Expenditure ($NZDm)</t>
  </si>
  <si>
    <t>PEP &amp; PPP National Expenditure ($NZDm)</t>
  </si>
  <si>
    <t>PMP/PML National Expenditure ($NZDm)</t>
  </si>
  <si>
    <t>Expenditure, All Permits – National Total ($NZDm)</t>
  </si>
  <si>
    <t>PPPs Granted</t>
  </si>
  <si>
    <t>PEPs Granted</t>
  </si>
  <si>
    <t>PMPs Granted</t>
  </si>
  <si>
    <t>Total Permits Granted</t>
  </si>
  <si>
    <t>Permits surrenderred</t>
  </si>
  <si>
    <t>Permits expired</t>
  </si>
  <si>
    <t>Permits revoked</t>
  </si>
  <si>
    <t>Total Permits Ended</t>
  </si>
  <si>
    <t>Number of PEPs &amp; PPPs at Granted Status</t>
  </si>
  <si>
    <t>Number of PMPs and PMLs at Granted Status</t>
  </si>
  <si>
    <t>Total No of Permits</t>
  </si>
  <si>
    <t>energyinfo@mbie.govt.nz</t>
  </si>
  <si>
    <t>Notes</t>
  </si>
  <si>
    <t>Glossary</t>
  </si>
  <si>
    <t>Activity</t>
  </si>
  <si>
    <t>Oil and Condensate</t>
  </si>
  <si>
    <t>LPG</t>
  </si>
  <si>
    <t>Gas and LPG combined</t>
  </si>
  <si>
    <t>Gas system deliverability</t>
  </si>
  <si>
    <t>2C resources</t>
  </si>
  <si>
    <t>Petroleum Initially in Place</t>
  </si>
  <si>
    <t>Oil production profile</t>
  </si>
  <si>
    <t>Monte Carlo methodology</t>
  </si>
  <si>
    <t>The process used is as follows:</t>
  </si>
  <si>
    <t>1. Each field submits Annual Summary Reports to MBIE. These returns include several units of measure. We only use the PJ units for calculation purposes and to ensure a simple comparison between fuel types. Conversion to other units is achieved using the data provided by each operator.</t>
  </si>
  <si>
    <t>5. We now calculate 100,000 samples for each field based on the lognormal distribution of possible values</t>
  </si>
  <si>
    <t>6. Each set of samples is summed, leaving us with 100,000 possible national totals</t>
  </si>
  <si>
    <t>7. This simulated set of national totals effectively forms a distribution of possible values. We take the 0.1, 0.5, and 0.9 quantiles of this range as the P1, P2, and P3 values respectively.</t>
  </si>
  <si>
    <t>Note on LPG methodology</t>
  </si>
  <si>
    <t>1P, 2P, 3P reserves</t>
  </si>
  <si>
    <t>1P reserves are Proven reserves (both developed and undeveloped). These reserves have a 90% certainty of being produced.</t>
  </si>
  <si>
    <t>2P reserves Proven reserves + Probable reserves, hence 2P. These reserves have a 50% certainty of being produced.</t>
  </si>
  <si>
    <t>3P reserves are proven reserves + probable reserves + possible reserves, hence 3P. These reserves have a 10% certainty of being produced.</t>
  </si>
  <si>
    <t>Ultimately recoverable reserves</t>
  </si>
  <si>
    <t>The Ultimately Recoverable reserves is the sum of the estimated resources at a particular time and the cumulative production up to that time.</t>
  </si>
  <si>
    <t>Remaining reserves</t>
  </si>
  <si>
    <t>The Remaining Reserves are the estimated volume of resource in the ground that is still recoverable given the technological and economic factors at the time.</t>
  </si>
  <si>
    <t>Contingent Resources</t>
  </si>
  <si>
    <t>Contingent Resources are resources estimated at a particular time to be potentially recoverable, but which are not commercially recoverable at that time. This could be a result of technological barriers, or economic factors. It is possible for remaining reserves to be reclassified as Contingent Resources in light of changing economic conditions.</t>
  </si>
  <si>
    <t>Petroleum initially in place</t>
  </si>
  <si>
    <r>
      <t xml:space="preserve">This is the quantity of petroleum estimated to have originally existed in naturally occurring formations. It is defined as the quantity of petroleum estimated to be in known accumulations, plus cumulative production from those resources, plus estimated quantities yet to be discovered. 
</t>
    </r>
    <r>
      <rPr>
        <i/>
        <sz val="10"/>
        <color theme="1"/>
        <rFont val="Calibri"/>
        <family val="2"/>
      </rPr>
      <t xml:space="preserve">Source https://www.spe.org/industry/petroleum-resources-classification-system-definitions.php </t>
    </r>
  </si>
  <si>
    <r>
      <t>location = log(m</t>
    </r>
    <r>
      <rPr>
        <sz val="11"/>
        <color theme="1"/>
        <rFont val="Calibri"/>
        <family val="2"/>
      </rPr>
      <t>²</t>
    </r>
    <r>
      <rPr>
        <sz val="11"/>
        <color theme="1"/>
        <rFont val="Calibri"/>
        <family val="2"/>
      </rPr>
      <t xml:space="preserve"> / </t>
    </r>
    <r>
      <rPr>
        <sz val="11"/>
        <color theme="1"/>
        <rFont val="Calibri"/>
        <family val="2"/>
      </rPr>
      <t>√</t>
    </r>
    <r>
      <rPr>
        <sz val="11"/>
        <color theme="1"/>
        <rFont val="Calibri"/>
        <family val="2"/>
      </rPr>
      <t>(s² + m²))</t>
    </r>
  </si>
  <si>
    <t>shape = √(log(1 + (s² / m²)))</t>
  </si>
  <si>
    <t>These figures represent the combined total of gas and LPG reserves. Units are limited to petajoules (PJ) for ease of comparison.</t>
  </si>
  <si>
    <t>Methodology notes</t>
  </si>
  <si>
    <t>Glossary of key terms</t>
  </si>
  <si>
    <t>4. When then filter the data by commodity (gas, oil, condensate, lpg) and perform calculations on each fuel type subset.</t>
  </si>
  <si>
    <t>Arithmetic and probabilistic totals</t>
  </si>
  <si>
    <t>National totals for P1, P2, and P3 reserves are calculated by both arithmetic and probabilistic means.
The arithmetic total for all fields is calculated by summing all values. As we are summing probabilistic values, the arithmetic total is not generally considered to be an accurate measure of the "most likely" value.
Probabilistic totals are summed using a Monte Carlo simulation (see below). While the 2P arithmetic and probabilistic totals will be very close, the totals will differ for 1P and 3P values. Probabilistic totals are generally considered a more accurate measure for "most likely" values.</t>
  </si>
  <si>
    <t>Probabilistic totals in this workbook were derived using a Monte Carlo simulation of the possible distribution of each field's reserves.</t>
  </si>
  <si>
    <t>National totals</t>
  </si>
  <si>
    <t xml:space="preserve">Activity Statistics Combined for PPPs, PEPs, PMPs and PMLs </t>
  </si>
  <si>
    <r>
      <t>3-D Seismic Acquired (km</t>
    </r>
    <r>
      <rPr>
        <vertAlign val="superscript"/>
        <sz val="11"/>
        <color indexed="8"/>
        <rFont val="Calibri"/>
        <family val="2"/>
        <scheme val="minor"/>
      </rPr>
      <t>2</t>
    </r>
    <r>
      <rPr>
        <sz val="11"/>
        <color indexed="8"/>
        <rFont val="Calibri"/>
        <family val="2"/>
        <scheme val="minor"/>
      </rPr>
      <t>)</t>
    </r>
  </si>
  <si>
    <r>
      <t>3-D Seismic Reprocessed (km</t>
    </r>
    <r>
      <rPr>
        <vertAlign val="superscript"/>
        <sz val="11"/>
        <color indexed="8"/>
        <rFont val="Calibri"/>
        <family val="2"/>
        <scheme val="minor"/>
      </rPr>
      <t>2</t>
    </r>
    <r>
      <rPr>
        <sz val="11"/>
        <color indexed="8"/>
        <rFont val="Calibri"/>
        <family val="2"/>
        <scheme val="minor"/>
      </rPr>
      <t>)</t>
    </r>
  </si>
  <si>
    <t>Conversion factors</t>
  </si>
  <si>
    <t>1 PJ = 20.25 kt</t>
  </si>
  <si>
    <t>Gas Production Profile
(Forecast) – PJ</t>
  </si>
  <si>
    <t>In general we have published data as provided to us. In the case of gas and LPG production profiles we have converted all values to Petajoules (PJ) for ease of comparison.</t>
  </si>
  <si>
    <r>
      <t>1 ft</t>
    </r>
    <r>
      <rPr>
        <sz val="11"/>
        <color theme="1"/>
        <rFont val="Calibri"/>
        <family val="2"/>
      </rPr>
      <t>³</t>
    </r>
    <r>
      <rPr>
        <sz val="11"/>
        <color theme="1"/>
        <rFont val="Calibri"/>
        <family val="2"/>
      </rPr>
      <t xml:space="preserve"> = 0.0283168 m³</t>
    </r>
  </si>
  <si>
    <t>Where required, we have converted LPG production profiles from kilotonnes to petajoules using the conversion factor:</t>
  </si>
  <si>
    <t>New Zealand Petroleum Reserves tables</t>
  </si>
  <si>
    <t>2. The reported P2 and P1 figures are then used to calculate a standard deviation for each field. For this calculation, we assume the P2 to be the mean, and P1 to be the 0.1 quantile. The calculation used is:</t>
  </si>
  <si>
    <t>SD = (P1 - P2)/qnorm(0.1)</t>
  </si>
  <si>
    <t>3. We use a lognormal distribution to model potential volumes for each field. The lognormal requires calculation of the location and shape parameters. These are calculated as follows where s is the standard deviation, and m is the mean.</t>
  </si>
  <si>
    <t>The calculation of LPG reserves does not include any process conversion losses associated with bringing the LPG to market.</t>
  </si>
  <si>
    <t>The volumes are a direct reflection of the volumes reported by each operator in the Annual Summary Reports.</t>
  </si>
  <si>
    <t>Produced by 
Markets Domains team, Data Service Delivery
Data, Insights and Intelligence
Ministry of Business, Innovation and Employment</t>
  </si>
  <si>
    <t>Table of Contents</t>
  </si>
  <si>
    <t>LPG
(kt)</t>
  </si>
  <si>
    <t>Where required, we have converted natural gas production profiles from billion cubic feet to cubic metres, and then to petajoules using a weighted average of calorific values from each field. To convert from cubic feet to cubic metres, we use the conversion factor:</t>
  </si>
  <si>
    <t>LPG Production Profile
(Forecast) – PJ</t>
  </si>
  <si>
    <r>
      <t>Mm</t>
    </r>
    <r>
      <rPr>
        <b/>
        <sz val="11"/>
        <color rgb="FF000000"/>
        <rFont val="Arial"/>
        <family val="2"/>
      </rPr>
      <t>³</t>
    </r>
  </si>
  <si>
    <t>Oil
(MMbbl)</t>
  </si>
  <si>
    <t>Condensate
(MMbbl)</t>
  </si>
  <si>
    <t>Crude Oil and Condensate
Production Profile (Forecast) – MMbbl</t>
  </si>
  <si>
    <r>
      <t>Units: million cubic metres (Mm</t>
    </r>
    <r>
      <rPr>
        <i/>
        <vertAlign val="superscript"/>
        <sz val="11"/>
        <color theme="1"/>
        <rFont val="Calibri"/>
        <family val="2"/>
      </rPr>
      <t>3</t>
    </r>
    <r>
      <rPr>
        <i/>
        <sz val="11"/>
        <color theme="1"/>
        <rFont val="Calibri"/>
        <family val="2"/>
      </rPr>
      <t>), million barrels (MMbbl), and petajoules (PJ)</t>
    </r>
  </si>
  <si>
    <t>Units: kilotonnes (kt) and petajoules (PJ)</t>
  </si>
  <si>
    <t>Units: petajoules (PJ)</t>
  </si>
  <si>
    <t>Summary table of commodities initially in place.</t>
  </si>
  <si>
    <t>Forecast oil production by field.</t>
  </si>
  <si>
    <t>Gas production profile</t>
  </si>
  <si>
    <t>Forecast gas production by field.</t>
  </si>
  <si>
    <t>LPG production profile</t>
  </si>
  <si>
    <r>
      <t>Units: million cubic metres (Mm</t>
    </r>
    <r>
      <rPr>
        <i/>
        <vertAlign val="superscript"/>
        <sz val="11"/>
        <color theme="1"/>
        <rFont val="Calibri"/>
        <family val="2"/>
      </rPr>
      <t>3</t>
    </r>
    <r>
      <rPr>
        <i/>
        <sz val="11"/>
        <color theme="1"/>
        <rFont val="Calibri"/>
        <family val="2"/>
      </rPr>
      <t>), billion standard cubic feet (Bscf), and petajoules (PJ).</t>
    </r>
  </si>
  <si>
    <t>Units: terajoules per hour (TJ/hour), terajoules per day (TJ/day).</t>
  </si>
  <si>
    <t>A description of the methodology used in creation of the main reserves tables.</t>
  </si>
  <si>
    <t>Explanation of the terminology used to describe oil and gas reserves.</t>
  </si>
  <si>
    <t>Oil and gas exploration activity.</t>
  </si>
  <si>
    <t>Summary table of oil and condensate reserves as at 1 January 2026. Includes 1P, 2P, and 3P Ultimately Recoverable Reserves, and Remaining Reserves by field.</t>
  </si>
  <si>
    <t>Summary table of gas reserves as at 1 January 2026. Includes 1P, 2P, and 3P Ultimately Recoverable Reserves, and Remaining Reserves by field.</t>
  </si>
  <si>
    <t>Summary table of LPG reserves as at 1 January 2026. Includes 1P, 2P, and 3P Ultimately Recoverable Reserves, and Remaining Reserves by field.</t>
  </si>
  <si>
    <t>Summary table of combined gas and LPG reserves as at 1 January 2026. Includes 1P, 2P, and 3P Ultimately Recoverable Reserves, and Remaining Reserves by field.</t>
  </si>
  <si>
    <t>Minimum, maximum, and average gas deliverability for 2025, by field.</t>
  </si>
  <si>
    <t>Contingent resources by field as at 1 January 2026.</t>
  </si>
  <si>
    <t>Oil and Condensate Reserves - as at 1 January 2026</t>
  </si>
  <si>
    <t>Cheal and Cardiff</t>
  </si>
  <si>
    <t>Oil</t>
  </si>
  <si>
    <t>Cheal East</t>
  </si>
  <si>
    <t>Copper Moki</t>
  </si>
  <si>
    <t>Greater Ngatoro</t>
  </si>
  <si>
    <t>Oil/Condensate</t>
  </si>
  <si>
    <t>Kapuni</t>
  </si>
  <si>
    <t>Condensate</t>
  </si>
  <si>
    <t>Kauri &amp; Manutahi</t>
  </si>
  <si>
    <t>Kowhai</t>
  </si>
  <si>
    <t>Kupe</t>
  </si>
  <si>
    <t>Maari &amp; Manaia</t>
  </si>
  <si>
    <t>Mangahewa</t>
  </si>
  <si>
    <t>Maui</t>
  </si>
  <si>
    <t>McKee</t>
  </si>
  <si>
    <t>Pohokura</t>
  </si>
  <si>
    <t>Radnor</t>
  </si>
  <si>
    <t>Rimu</t>
  </si>
  <si>
    <t>Sidewinder</t>
  </si>
  <si>
    <t>Surrey</t>
  </si>
  <si>
    <t>Tariki</t>
  </si>
  <si>
    <t>Turangi and Turangi McKee Overthrust</t>
  </si>
  <si>
    <t>Waihapa/Ngaere</t>
  </si>
  <si>
    <t>Arithmetic total</t>
  </si>
  <si>
    <t/>
  </si>
  <si>
    <t>Probabilistic total</t>
  </si>
  <si>
    <t>Natural Gas Reserves - as at 1 January 2026</t>
  </si>
  <si>
    <t>Hanmer Springs</t>
  </si>
  <si>
    <t>LPG Reserves - as at 1 January 2026</t>
  </si>
  <si>
    <t>Natural Gas and LPG Combined Reserves - as at 1 January 2026</t>
  </si>
  <si>
    <t>Gas System Deliverability - 2025</t>
  </si>
  <si>
    <t>Total</t>
  </si>
  <si>
    <t>Storage Facility</t>
  </si>
  <si>
    <t>Maximum Deliverability</t>
  </si>
  <si>
    <t>TJ/day</t>
  </si>
  <si>
    <t>TJ/hour</t>
  </si>
  <si>
    <t>Ahuroa Gas Storage facility</t>
  </si>
  <si>
    <t>Contingent Resources - as at 1 January 2026</t>
  </si>
  <si>
    <t>Karewa</t>
  </si>
  <si>
    <t>Puka</t>
  </si>
  <si>
    <t>Petroleum initially in place - as at 1 January 2026</t>
  </si>
  <si>
    <t>Field</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</si>
  <si>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</si>
  <si>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</si>
  <si>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</si>
  <si>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</si>
  <si>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</si>
  <si>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</si>
  <si>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</si>
  <si>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</si>
  <si>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</si>
  <si>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</si>
  <si>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</si>
  <si>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</si>
  <si>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</si>
  <si>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</si>
  <si>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</si>
  <si>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</si>
  <si>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</si>
  <si>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</si>
  <si>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</si>
  <si>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</si>
  <si>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</si>
  <si>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</si>
  <si>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</si>
  <si>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</si>
  <si>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</si>
  <si>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</si>
  <si>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</si>
  <si>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</si>
  <si>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</si>
  <si>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</si>
  <si>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</si>
  <si>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</si>
  <si>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</si>
  <si>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</si>
  <si>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</si>
  <si>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Forecast LPG production by field.</t>
  </si>
  <si>
    <t>Actual average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</si>
</sst>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8" formatCode="&quot;$&quot;#,##0.00;[Red]\-&quot;$&quot;#,##0.00"/>
    <numFmt numFmtId="164" formatCode="##,##0.00;\-##,##0.00;&quot;-&quot;"/>
    <numFmt numFmtId="165" formatCode="#,##0.0"/>
    <numFmt numFmtId="166" formatCode="&quot;$&quot;#,##0.00"/>
    <numFmt numFmtId="167" formatCode="&quot;$&quot;#,##0.000;[Red]\-&quot;$&quot;#,##0.000"/>
    <numFmt numFmtId="168" formatCode="&quot;$&quot;#,##0"/>
  </numFmts>
  <fonts count="24" x14ac:knownFonts="1">
    <font>
      <sz val="11"/>
      <color theme="1"/>
      <name val="Calibri"/>
      <family val="2"/>
    </font>
    <font>
      <i/>
      <sz val="11"/>
      <color theme="1"/>
      <name val="Calibri"/>
    </font>
    <font>
      <sz val="11"/>
      <color theme="1"/>
      <name val="Calibri"/>
    </font>
    <font>
      <b/>
      <sz val="14"/>
      <color theme="1"/>
      <name val="Calibri"/>
    </font>
    <font>
      <b/>
      <sz val="16"/>
      <color theme="1"/>
      <name val="Calibri"/>
    </font>
    <font>
      <u/>
      <sz val="11"/>
      <color theme="10"/>
      <name val="Calibri"/>
    </font>
    <font>
      <sz val="11"/>
      <color rgb="FF000000"/>
      <name val="Calibri"/>
    </font>
    <font>
      <b/>
      <sz val="11"/>
      <color theme="1"/>
      <name val="Calibri"/>
    </font>
    <font>
      <sz val="11"/>
      <color indexed="8"/>
      <name val="Calibri"/>
    </font>
    <font>
      <b/>
      <sz val="11"/>
      <color indexed="8"/>
      <name val="Calibri"/>
    </font>
    <font>
      <b/>
      <sz val="11"/>
      <color rgb="FF000000"/>
      <name val="Calibri"/>
    </font>
    <font>
      <b/>
      <sz val="16"/>
      <color rgb="FF000000"/>
      <name val="Calibri"/>
    </font>
    <font>
      <sz val="16"/>
      <color rgb="FF000000"/>
      <name val="Calibri"/>
    </font>
    <font>
      <i/>
      <sz val="10"/>
      <color theme="1"/>
      <name val="Calibri"/>
      <family val="2"/>
    </font>
    <font>
      <vertAlign val="superscript"/>
      <sz val="11"/>
      <color indexed="8"/>
      <name val="Calibri"/>
      <family val="2"/>
      <scheme val="minor"/>
    </font>
    <font>
      <sz val="11"/>
      <color indexed="8"/>
      <name val="Calibri"/>
      <family val="2"/>
      <scheme val="minor"/>
    </font>
    <font>
      <b/>
      <sz val="11"/>
      <color rgb="FF000000"/>
      <name val="Arial"/>
      <family val="2"/>
    </font>
    <font>
      <i/>
      <vertAlign val="superscript"/>
      <sz val="11"/>
      <color theme="1"/>
      <name val="Calibri"/>
      <family val="2"/>
    </font>
    <font>
      <i/>
      <sz val="11"/>
      <color theme="1"/>
      <name val="Calibri"/>
      <family val="2"/>
    </font>
    <font>
      <b/>
      <sz val="11"/>
      <name val="Arial"/>
      <family val="2"/>
    </font>
    <font>
      <sz val="11"/>
      <name val="Arial"/>
      <family val="2"/>
    </font>
    <font>
      <b/>
      <sz val="11"/>
      <color indexed="8"/>
      <name val="Arial"/>
      <family val="2"/>
    </font>
    <font>
      <sz val="11"/>
      <color indexed="8"/>
      <name val="Arial"/>
      <family val="2"/>
    </font>
    <font>
      <b/>
      <sz val="11"/>
      <color theme="1"/>
      <name val="Arial"/>
      <family val="2"/>
    </font>
  </fonts>
  <fills count="6">
    <fill>
      <patternFill patternType="none"/>
    </fill>
    <fill>
      <patternFill patternType="gray125"/>
    </fill>
    <fill>
      <patternFill patternType="solid">
        <fgColor theme="8" tint="0.79998168889431442"/>
        <bgColor indexed="64"/>
      </patternFill>
    </fill>
    <fill>
      <patternFill patternType="solid">
        <fgColor rgb="FFEDF2F9"/>
        <bgColor indexed="64"/>
      </patternFill>
    </fill>
    <fill>
      <patternFill patternType="solid">
        <fgColor rgb="FFEDF2F9"/>
      </patternFill>
    </fill>
    <fill>
      <patternFill patternType="solid">
        <fgColor rgb="FFEDF2F9"/>
      </patternFill>
    </fill>
  </fills>
  <borders count="73">
    <border>
      <left/>
      <right/>
      <top/>
      <bottom/>
      <diagonal/>
    </border>
    <border>
      <left style="medium">
        <color theme="1"/>
      </left>
      <right/>
      <top style="medium">
        <color theme="1"/>
      </top>
      <bottom style="medium">
        <color theme="1"/>
      </bottom>
      <diagonal/>
    </border>
    <border>
      <left style="medium">
        <color theme="1"/>
      </left>
      <right/>
      <top/>
      <bottom/>
      <diagonal/>
    </border>
    <border>
      <left style="medium">
        <color theme="1"/>
      </left>
      <right/>
      <top/>
      <bottom style="medium">
        <color theme="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style="medium">
        <color rgb="FF000000"/>
      </top>
      <bottom/>
      <diagonal/>
    </border>
    <border>
      <left/>
      <right style="medium">
        <color rgb="FF000000"/>
      </right>
      <top/>
      <bottom/>
      <diagonal/>
    </border>
    <border>
      <left/>
      <right style="thin">
        <color rgb="FF000000"/>
      </right>
      <top/>
      <bottom/>
      <diagonal/>
    </border>
    <border>
      <left style="thin">
        <color rgb="FF000000"/>
      </left>
      <right/>
      <top style="medium">
        <color rgb="FF000000"/>
      </top>
      <bottom/>
      <diagonal/>
    </border>
    <border>
      <left style="thin">
        <color rgb="FF000000"/>
      </left>
      <right/>
      <top/>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medium">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right/>
      <top style="medium">
        <color theme="1"/>
      </top>
      <bottom style="medium">
        <color theme="1"/>
      </bottom>
      <diagonal/>
    </border>
    <border>
      <left/>
      <right/>
      <top/>
      <bottom style="double">
        <color indexed="64"/>
      </bottom>
      <diagonal/>
    </border>
    <border>
      <left/>
      <right style="medium">
        <color theme="1"/>
      </right>
      <top style="medium">
        <color theme="1"/>
      </top>
      <bottom style="medium">
        <color theme="1"/>
      </bottom>
      <diagonal/>
    </border>
    <border>
      <left/>
      <right style="medium">
        <color theme="1"/>
      </right>
      <top/>
      <bottom/>
      <diagonal/>
    </border>
    <border>
      <left/>
      <right style="medium">
        <color theme="1"/>
      </right>
      <top/>
      <bottom style="double">
        <color indexed="64"/>
      </bottom>
      <diagonal/>
    </border>
    <border>
      <left/>
      <right/>
      <top/>
      <bottom style="medium">
        <color theme="1"/>
      </bottom>
      <diagonal/>
    </border>
    <border>
      <left/>
      <right style="medium">
        <color theme="1"/>
      </right>
      <top/>
      <bottom style="medium">
        <color theme="1"/>
      </bottom>
      <diagonal/>
    </border>
  </borders>
  <cellStyleXfs count="1">
    <xf numFmtId="0" fontId="0" fillId="0" borderId="0"/>
  </cellStyleXfs>
  <cellXfs count="275">
    <xf numFmtId="0" fontId="0" fillId="0" borderId="0" xfId="0"/>
    <xf numFmtId="0" fontId="1" fillId="0" borderId="0" xfId="0" applyFont="1" applyAlignment="1">
      <alignment vertical="top" wrapText="1"/>
    </xf>
    <xf numFmtId="0" fontId="2" fillId="0" borderId="0" xfId="0" applyFont="1" applyAlignment="1">
      <alignment horizontal="right"/>
    </xf>
    <xf numFmtId="0" fontId="2" fillId="0" borderId="0" xfId="0" applyFont="1" applyAlignment="1">
      <alignment vertical="top"/>
    </xf>
    <xf numFmtId="0" fontId="2" fillId="0" borderId="0" xfId="0" applyFont="1" applyAlignment="1">
      <alignment horizontal="left" wrapText="1"/>
    </xf>
    <xf numFmtId="0" fontId="4" fillId="0" borderId="0" xfId="0" applyFont="1"/>
    <xf numFmtId="0" fontId="1" fillId="0" borderId="0" xfId="0" applyFont="1" applyAlignment="1">
      <alignment vertical="top"/>
    </xf>
    <xf numFmtId="0" fontId="5" fillId="0" borderId="0" xfId="0" applyFont="1"/>
    <xf numFmtId="0" fontId="5" fillId="0" borderId="0" xfId="0" applyFont="1" applyAlignment="1">
      <alignment vertical="top"/>
    </xf>
    <xf numFmtId="0" fontId="2" fillId="0" borderId="0" xfId="0" applyFont="1"/>
    <xf numFmtId="0" fontId="6" fillId="0" borderId="0" xfId="0" applyFont="1" applyAlignment="1">
      <alignment horizontal="left" vertical="top" wrapText="1"/>
    </xf>
    <xf numFmtId="0" fontId="2" fillId="0" borderId="0" xfId="0" applyFont="1" applyAlignment="1">
      <alignment horizontal="left" vertical="top"/>
    </xf>
    <xf numFmtId="0" fontId="3" fillId="0" borderId="0" xfId="0" applyFont="1"/>
    <xf numFmtId="0" fontId="2" fillId="0" borderId="0" xfId="0" applyFont="1" applyAlignment="1">
      <alignment horizontal="left"/>
    </xf>
    <xf numFmtId="0" fontId="6" fillId="0" borderId="0" xfId="0" applyFont="1" applyAlignment="1">
      <alignment horizontal="left"/>
    </xf>
    <xf numFmtId="0" fontId="7" fillId="0" borderId="0" xfId="0" applyFont="1" applyAlignment="1">
      <alignment vertical="top"/>
    </xf>
    <xf numFmtId="49" fontId="3" fillId="0" borderId="0" xfId="0" applyNumberFormat="1" applyFont="1" applyAlignment="1">
      <alignment vertical="center" wrapText="1"/>
    </xf>
    <xf numFmtId="49" fontId="7" fillId="2" borderId="1" xfId="0" applyNumberFormat="1" applyFont="1" applyFill="1" applyBorder="1" applyAlignment="1">
      <alignment horizontal="center"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2" fillId="0" borderId="2" xfId="0" applyFont="1" applyBorder="1"/>
    <xf numFmtId="0" fontId="9" fillId="0" borderId="2" xfId="0" applyFont="1" applyBorder="1" applyAlignment="1">
      <alignment vertical="center"/>
    </xf>
    <xf numFmtId="0" fontId="9" fillId="0" borderId="3" xfId="0" applyFont="1" applyBorder="1" applyAlignment="1">
      <alignment vertical="center" wrapText="1"/>
    </xf>
    <xf numFmtId="0" fontId="10" fillId="3" borderId="4" xfId="0" applyFont="1" applyFill="1" applyBorder="1" applyAlignment="1">
      <alignment horizontal="center"/>
    </xf>
    <xf numFmtId="0" fontId="10" fillId="3" borderId="5" xfId="0" applyFont="1" applyFill="1" applyBorder="1" applyAlignment="1">
      <alignment horizontal="center"/>
    </xf>
    <xf numFmtId="0" fontId="10" fillId="3" borderId="6" xfId="0" applyFont="1" applyFill="1" applyBorder="1" applyAlignment="1">
      <alignment horizontal="center"/>
    </xf>
    <xf numFmtId="0" fontId="10" fillId="3" borderId="7" xfId="0" applyFont="1" applyFill="1" applyBorder="1" applyAlignment="1">
      <alignment horizontal="center"/>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164" fontId="2" fillId="0" borderId="13" xfId="0" applyNumberFormat="1" applyFont="1" applyBorder="1"/>
    <xf numFmtId="164" fontId="2" fillId="0" borderId="8" xfId="0" applyNumberFormat="1" applyFont="1" applyBorder="1"/>
    <xf numFmtId="164" fontId="2" fillId="0" borderId="14" xfId="0" applyNumberFormat="1" applyFont="1" applyBorder="1"/>
    <xf numFmtId="164" fontId="2" fillId="0" borderId="15" xfId="0" applyNumberFormat="1" applyFont="1" applyBorder="1"/>
    <xf numFmtId="164" fontId="2" fillId="0" borderId="16" xfId="0" applyNumberFormat="1" applyFont="1" applyBorder="1"/>
    <xf numFmtId="164" fontId="2" fillId="0" borderId="0" xfId="0" applyNumberFormat="1" applyFont="1"/>
    <xf numFmtId="164" fontId="2" fillId="0" borderId="10" xfId="0" applyNumberFormat="1" applyFont="1" applyBorder="1"/>
    <xf numFmtId="164" fontId="2" fillId="0" borderId="17" xfId="0" applyNumberFormat="1" applyFont="1" applyBorder="1"/>
    <xf numFmtId="164" fontId="2" fillId="0" borderId="18" xfId="0" applyNumberFormat="1" applyFont="1" applyBorder="1"/>
    <xf numFmtId="164" fontId="2" fillId="0" borderId="19" xfId="0" applyNumberFormat="1" applyFont="1" applyBorder="1"/>
    <xf numFmtId="164" fontId="7" fillId="0" borderId="20" xfId="0" applyNumberFormat="1" applyFont="1" applyBorder="1"/>
    <xf numFmtId="164" fontId="7" fillId="0" borderId="21" xfId="0" applyNumberFormat="1" applyFont="1" applyBorder="1"/>
    <xf numFmtId="164" fontId="7" fillId="0" borderId="22" xfId="0" applyNumberFormat="1" applyFont="1" applyBorder="1"/>
    <xf numFmtId="164" fontId="7" fillId="0" borderId="23" xfId="0" applyNumberFormat="1" applyFont="1" applyBorder="1"/>
    <xf numFmtId="164" fontId="7" fillId="0" borderId="24" xfId="0" applyNumberFormat="1" applyFont="1" applyBorder="1"/>
    <xf numFmtId="164" fontId="7" fillId="0" borderId="25" xfId="0" applyNumberFormat="1" applyFont="1" applyBorder="1"/>
    <xf numFmtId="164" fontId="7" fillId="0" borderId="26" xfId="0" applyNumberFormat="1" applyFont="1" applyBorder="1"/>
    <xf numFmtId="164" fontId="7" fillId="0" borderId="27" xfId="0" applyNumberFormat="1" applyFont="1" applyBorder="1"/>
    <xf numFmtId="164" fontId="7" fillId="0" borderId="28" xfId="0" applyNumberFormat="1" applyFont="1" applyBorder="1"/>
    <xf numFmtId="164" fontId="7" fillId="0" borderId="29" xfId="0" applyNumberFormat="1" applyFont="1" applyBorder="1"/>
    <xf numFmtId="164" fontId="7" fillId="0" borderId="22" xfId="0" applyNumberFormat="1" applyFont="1" applyBorder="1"/>
    <xf numFmtId="164" fontId="7" fillId="0" borderId="30" xfId="0" applyNumberFormat="1" applyFont="1" applyBorder="1"/>
    <xf numFmtId="164" fontId="7" fillId="0" borderId="24" xfId="0" applyNumberFormat="1" applyFont="1" applyBorder="1"/>
    <xf numFmtId="164" fontId="7" fillId="0" borderId="26" xfId="0" applyNumberFormat="1" applyFont="1" applyBorder="1"/>
    <xf numFmtId="164" fontId="7" fillId="0" borderId="27" xfId="0" applyNumberFormat="1" applyFont="1" applyBorder="1"/>
    <xf numFmtId="164" fontId="7" fillId="0" borderId="31" xfId="0" applyNumberFormat="1" applyFont="1" applyBorder="1"/>
    <xf numFmtId="164" fontId="7" fillId="0" borderId="29" xfId="0" applyNumberFormat="1" applyFont="1" applyBorder="1"/>
    <xf numFmtId="164" fontId="2" fillId="0" borderId="13" xfId="0" applyNumberFormat="1" applyFont="1" applyBorder="1"/>
    <xf numFmtId="164" fontId="2" fillId="0" borderId="15" xfId="0" applyNumberFormat="1" applyFont="1" applyBorder="1"/>
    <xf numFmtId="164" fontId="2" fillId="0" borderId="16" xfId="0" applyNumberFormat="1" applyFont="1" applyBorder="1"/>
    <xf numFmtId="164" fontId="2" fillId="0" borderId="0" xfId="0" applyNumberFormat="1" applyFont="1"/>
    <xf numFmtId="164" fontId="2" fillId="0" borderId="32" xfId="0" applyNumberFormat="1" applyFont="1" applyBorder="1"/>
    <xf numFmtId="164" fontId="2" fillId="0" borderId="34" xfId="0" applyNumberFormat="1" applyFont="1" applyBorder="1"/>
    <xf numFmtId="164" fontId="2" fillId="0" borderId="18" xfId="0" applyNumberFormat="1" applyFont="1" applyBorder="1"/>
    <xf numFmtId="164" fontId="2" fillId="0" borderId="19" xfId="0" applyNumberFormat="1" applyFont="1" applyBorder="1"/>
    <xf numFmtId="164" fontId="7" fillId="0" borderId="20" xfId="0" applyNumberFormat="1" applyFont="1" applyBorder="1"/>
    <xf numFmtId="164" fontId="2" fillId="0" borderId="13" xfId="0" applyNumberFormat="1" applyFont="1" applyBorder="1"/>
    <xf numFmtId="164" fontId="2" fillId="0" borderId="15" xfId="0" applyNumberFormat="1" applyFont="1" applyBorder="1"/>
    <xf numFmtId="164" fontId="2" fillId="0" borderId="16" xfId="0" applyNumberFormat="1" applyFont="1" applyBorder="1"/>
    <xf numFmtId="164" fontId="2" fillId="0" borderId="0" xfId="0" applyNumberFormat="1" applyFont="1"/>
    <xf numFmtId="164" fontId="2" fillId="0" borderId="32" xfId="0" applyNumberFormat="1" applyFont="1" applyBorder="1"/>
    <xf numFmtId="164" fontId="2" fillId="0" borderId="34" xfId="0" applyNumberFormat="1" applyFont="1" applyBorder="1"/>
    <xf numFmtId="164" fontId="2" fillId="0" borderId="18" xfId="0" applyNumberFormat="1" applyFont="1" applyBorder="1"/>
    <xf numFmtId="164" fontId="2" fillId="0" borderId="19" xfId="0" applyNumberFormat="1" applyFont="1" applyBorder="1"/>
    <xf numFmtId="164" fontId="7" fillId="0" borderId="20" xfId="0" applyNumberFormat="1" applyFont="1" applyBorder="1"/>
    <xf numFmtId="164" fontId="7" fillId="0" borderId="22" xfId="0" applyNumberFormat="1" applyFont="1" applyBorder="1"/>
    <xf numFmtId="164" fontId="7" fillId="0" borderId="30" xfId="0" applyNumberFormat="1" applyFont="1" applyBorder="1"/>
    <xf numFmtId="164" fontId="7" fillId="0" borderId="24" xfId="0" applyNumberFormat="1" applyFont="1" applyBorder="1"/>
    <xf numFmtId="164" fontId="7" fillId="0" borderId="26" xfId="0" applyNumberFormat="1" applyFont="1" applyBorder="1"/>
    <xf numFmtId="164" fontId="7" fillId="0" borderId="27" xfId="0" applyNumberFormat="1" applyFont="1" applyBorder="1"/>
    <xf numFmtId="164" fontId="7" fillId="0" borderId="31" xfId="0" applyNumberFormat="1" applyFont="1" applyBorder="1"/>
    <xf numFmtId="164" fontId="7" fillId="0" borderId="29" xfId="0" applyNumberFormat="1" applyFont="1" applyBorder="1"/>
    <xf numFmtId="164" fontId="7" fillId="0" borderId="35" xfId="0" applyNumberFormat="1" applyFont="1" applyBorder="1"/>
    <xf numFmtId="0" fontId="6" fillId="0" borderId="0" xfId="0" applyFont="1"/>
    <xf numFmtId="0" fontId="10" fillId="3" borderId="36" xfId="0" applyFont="1" applyFill="1" applyBorder="1" applyAlignment="1">
      <alignment horizontal="center"/>
    </xf>
    <xf numFmtId="0" fontId="10" fillId="3" borderId="37" xfId="0" applyFont="1" applyFill="1" applyBorder="1" applyAlignment="1">
      <alignment horizontal="center"/>
    </xf>
    <xf numFmtId="164" fontId="2" fillId="0" borderId="13" xfId="0" applyNumberFormat="1" applyFont="1" applyBorder="1"/>
    <xf numFmtId="164" fontId="2" fillId="0" borderId="0" xfId="0" applyNumberFormat="1" applyFont="1"/>
    <xf numFmtId="164" fontId="2" fillId="0" borderId="32" xfId="0" applyNumberFormat="1" applyFont="1" applyBorder="1"/>
    <xf numFmtId="164" fontId="2" fillId="0" borderId="34" xfId="0" applyNumberFormat="1" applyFont="1" applyBorder="1"/>
    <xf numFmtId="164" fontId="2" fillId="0" borderId="18" xfId="0" applyNumberFormat="1" applyFont="1" applyBorder="1"/>
    <xf numFmtId="164" fontId="2" fillId="0" borderId="19" xfId="0" applyNumberFormat="1" applyFont="1" applyBorder="1"/>
    <xf numFmtId="164" fontId="2" fillId="0" borderId="12" xfId="0" applyNumberFormat="1" applyFont="1" applyBorder="1"/>
    <xf numFmtId="164" fontId="2" fillId="0" borderId="38" xfId="0" applyNumberFormat="1" applyFont="1" applyBorder="1"/>
    <xf numFmtId="164" fontId="7" fillId="0" borderId="20" xfId="0" applyNumberFormat="1" applyFont="1" applyBorder="1"/>
    <xf numFmtId="164" fontId="7" fillId="0" borderId="30" xfId="0" applyNumberFormat="1" applyFont="1" applyBorder="1"/>
    <xf numFmtId="164" fontId="7" fillId="0" borderId="24" xfId="0" applyNumberFormat="1" applyFont="1" applyBorder="1"/>
    <xf numFmtId="164" fontId="7" fillId="0" borderId="39" xfId="0" applyNumberFormat="1" applyFont="1" applyBorder="1"/>
    <xf numFmtId="164" fontId="7" fillId="0" borderId="27" xfId="0" applyNumberFormat="1" applyFont="1" applyBorder="1"/>
    <xf numFmtId="164" fontId="7" fillId="0" borderId="31" xfId="0" applyNumberFormat="1" applyFont="1" applyBorder="1"/>
    <xf numFmtId="164" fontId="7" fillId="0" borderId="29" xfId="0" applyNumberFormat="1" applyFont="1" applyBorder="1"/>
    <xf numFmtId="0" fontId="10" fillId="3" borderId="40" xfId="0" applyFont="1" applyFill="1" applyBorder="1" applyAlignment="1">
      <alignment horizontal="center"/>
    </xf>
    <xf numFmtId="0" fontId="10" fillId="3" borderId="41" xfId="0" applyFont="1" applyFill="1" applyBorder="1" applyAlignment="1">
      <alignment horizontal="center"/>
    </xf>
    <xf numFmtId="0" fontId="10" fillId="3" borderId="42" xfId="0" applyFont="1" applyFill="1" applyBorder="1" applyAlignment="1">
      <alignment horizontal="center"/>
    </xf>
    <xf numFmtId="0" fontId="10" fillId="3" borderId="43" xfId="0" applyFont="1" applyFill="1" applyBorder="1" applyAlignment="1">
      <alignment horizontal="center"/>
    </xf>
    <xf numFmtId="164" fontId="2" fillId="0" borderId="13" xfId="0" applyNumberFormat="1" applyFont="1" applyBorder="1"/>
    <xf numFmtId="164" fontId="2" fillId="0" borderId="15" xfId="0" applyNumberFormat="1" applyFont="1" applyBorder="1"/>
    <xf numFmtId="164" fontId="2" fillId="0" borderId="16" xfId="0" applyNumberFormat="1" applyFont="1" applyBorder="1"/>
    <xf numFmtId="164" fontId="2" fillId="0" borderId="0" xfId="0" applyNumberFormat="1" applyFont="1"/>
    <xf numFmtId="164" fontId="2" fillId="0" borderId="32" xfId="0" applyNumberFormat="1" applyFont="1" applyBorder="1"/>
    <xf numFmtId="164" fontId="2" fillId="0" borderId="34" xfId="0" applyNumberFormat="1" applyFont="1" applyBorder="1"/>
    <xf numFmtId="164" fontId="2" fillId="0" borderId="18" xfId="0" applyNumberFormat="1" applyFont="1" applyBorder="1"/>
    <xf numFmtId="164" fontId="2" fillId="0" borderId="19" xfId="0" applyNumberFormat="1" applyFont="1" applyBorder="1"/>
    <xf numFmtId="164" fontId="7" fillId="0" borderId="50" xfId="0" applyNumberFormat="1" applyFont="1" applyBorder="1"/>
    <xf numFmtId="164" fontId="7" fillId="0" borderId="51" xfId="0" applyNumberFormat="1" applyFont="1" applyBorder="1"/>
    <xf numFmtId="164" fontId="7" fillId="0" borderId="52" xfId="0" applyNumberFormat="1" applyFont="1" applyBorder="1"/>
    <xf numFmtId="164" fontId="7" fillId="0" borderId="53" xfId="0" applyNumberFormat="1" applyFont="1" applyBorder="1"/>
    <xf numFmtId="164" fontId="2" fillId="0" borderId="54" xfId="0" applyNumberFormat="1" applyFont="1" applyBorder="1"/>
    <xf numFmtId="164" fontId="2" fillId="0" borderId="55" xfId="0" applyNumberFormat="1" applyFont="1" applyBorder="1"/>
    <xf numFmtId="164" fontId="2" fillId="0" borderId="56" xfId="0" applyNumberFormat="1" applyFont="1" applyBorder="1"/>
    <xf numFmtId="0" fontId="7" fillId="4" borderId="22" xfId="0" applyFont="1" applyFill="1" applyBorder="1" applyAlignment="1">
      <alignment horizontal="center"/>
    </xf>
    <xf numFmtId="0" fontId="7" fillId="4" borderId="24" xfId="0" applyFont="1" applyFill="1" applyBorder="1" applyAlignment="1">
      <alignment horizontal="center"/>
    </xf>
    <xf numFmtId="0" fontId="10" fillId="3" borderId="57" xfId="0" applyFont="1" applyFill="1" applyBorder="1" applyAlignment="1">
      <alignment horizontal="left" vertical="center"/>
    </xf>
    <xf numFmtId="0" fontId="10" fillId="3" borderId="58" xfId="0" applyFont="1" applyFill="1" applyBorder="1" applyAlignment="1">
      <alignment horizontal="center" wrapText="1"/>
    </xf>
    <xf numFmtId="0" fontId="10" fillId="3" borderId="59" xfId="0" applyFont="1" applyFill="1" applyBorder="1" applyAlignment="1">
      <alignment horizontal="center" wrapText="1"/>
    </xf>
    <xf numFmtId="0" fontId="10" fillId="3" borderId="60" xfId="0" applyFont="1" applyFill="1" applyBorder="1" applyAlignment="1">
      <alignment horizontal="center" wrapText="1"/>
    </xf>
    <xf numFmtId="164" fontId="2" fillId="0" borderId="13" xfId="0" applyNumberFormat="1" applyFont="1" applyBorder="1"/>
    <xf numFmtId="164" fontId="2" fillId="0" borderId="15" xfId="0" applyNumberFormat="1" applyFont="1" applyBorder="1"/>
    <xf numFmtId="164" fontId="2" fillId="0" borderId="16" xfId="0" applyNumberFormat="1" applyFont="1" applyBorder="1"/>
    <xf numFmtId="164" fontId="2" fillId="0" borderId="0" xfId="0" applyNumberFormat="1" applyFont="1"/>
    <xf numFmtId="164" fontId="2" fillId="0" borderId="32" xfId="0" applyNumberFormat="1" applyFont="1" applyBorder="1"/>
    <xf numFmtId="164" fontId="2" fillId="0" borderId="34" xfId="0" applyNumberFormat="1" applyFont="1" applyBorder="1"/>
    <xf numFmtId="164" fontId="7" fillId="0" borderId="50" xfId="0" applyNumberFormat="1" applyFont="1" applyBorder="1"/>
    <xf numFmtId="164" fontId="7" fillId="0" borderId="51" xfId="0" applyNumberFormat="1" applyFont="1" applyBorder="1"/>
    <xf numFmtId="164" fontId="7" fillId="0" borderId="52" xfId="0" applyNumberFormat="1" applyFont="1" applyBorder="1"/>
    <xf numFmtId="164" fontId="2" fillId="0" borderId="13" xfId="0" applyNumberFormat="1" applyFont="1" applyBorder="1"/>
    <xf numFmtId="164" fontId="2" fillId="0" borderId="15" xfId="0" applyNumberFormat="1" applyFont="1" applyBorder="1"/>
    <xf numFmtId="164" fontId="2" fillId="0" borderId="16" xfId="0" applyNumberFormat="1" applyFont="1" applyBorder="1"/>
    <xf numFmtId="164" fontId="2" fillId="0" borderId="0" xfId="0" applyNumberFormat="1" applyFont="1"/>
    <xf numFmtId="164" fontId="2" fillId="0" borderId="32" xfId="0" applyNumberFormat="1" applyFont="1" applyBorder="1"/>
    <xf numFmtId="164" fontId="2" fillId="0" borderId="34" xfId="0" applyNumberFormat="1" applyFont="1" applyBorder="1"/>
    <xf numFmtId="164" fontId="2" fillId="0" borderId="18" xfId="0" applyNumberFormat="1" applyFont="1" applyBorder="1"/>
    <xf numFmtId="164" fontId="2" fillId="0" borderId="19" xfId="0" applyNumberFormat="1" applyFont="1" applyBorder="1"/>
    <xf numFmtId="164" fontId="7" fillId="0" borderId="50" xfId="0" applyNumberFormat="1" applyFont="1" applyBorder="1"/>
    <xf numFmtId="164" fontId="7" fillId="0" borderId="51" xfId="0" applyNumberFormat="1" applyFont="1" applyBorder="1"/>
    <xf numFmtId="164" fontId="7" fillId="0" borderId="52" xfId="0" applyNumberFormat="1" applyFont="1" applyBorder="1"/>
    <xf numFmtId="164" fontId="7" fillId="0" borderId="53" xfId="0" applyNumberFormat="1" applyFont="1" applyBorder="1"/>
    <xf numFmtId="0" fontId="2" fillId="0" borderId="0" xfId="0" applyFont="1" applyAlignment="1">
      <alignment horizontal="center"/>
    </xf>
    <xf numFmtId="164" fontId="2" fillId="0" borderId="16" xfId="0" applyNumberFormat="1" applyFont="1" applyBorder="1"/>
    <xf numFmtId="164" fontId="2" fillId="0" borderId="0" xfId="0" applyNumberFormat="1" applyFont="1"/>
    <xf numFmtId="164" fontId="2" fillId="0" borderId="34" xfId="0" applyNumberFormat="1" applyFont="1" applyBorder="1"/>
    <xf numFmtId="164" fontId="7" fillId="0" borderId="50" xfId="0" applyNumberFormat="1" applyFont="1" applyBorder="1"/>
    <xf numFmtId="164" fontId="7" fillId="0" borderId="51" xfId="0" applyNumberFormat="1" applyFont="1" applyBorder="1"/>
    <xf numFmtId="164" fontId="7" fillId="0" borderId="52" xfId="0" applyNumberFormat="1" applyFont="1" applyBorder="1"/>
    <xf numFmtId="164" fontId="7" fillId="5" borderId="13" xfId="0" applyNumberFormat="1" applyFont="1" applyFill="1" applyBorder="1" applyAlignment="1">
      <alignment horizontal="center"/>
    </xf>
    <xf numFmtId="164" fontId="7" fillId="5" borderId="15" xfId="0" applyNumberFormat="1" applyFont="1" applyFill="1" applyBorder="1" applyAlignment="1">
      <alignment horizontal="center"/>
    </xf>
    <xf numFmtId="164" fontId="7" fillId="5" borderId="32" xfId="0" applyNumberFormat="1" applyFont="1" applyFill="1" applyBorder="1" applyAlignment="1">
      <alignment horizontal="left"/>
    </xf>
    <xf numFmtId="164" fontId="2" fillId="0" borderId="16" xfId="0" applyNumberFormat="1" applyFont="1" applyBorder="1"/>
    <xf numFmtId="164" fontId="2" fillId="0" borderId="0" xfId="0" applyNumberFormat="1" applyFont="1"/>
    <xf numFmtId="164" fontId="2" fillId="0" borderId="34" xfId="0" applyNumberFormat="1" applyFont="1" applyBorder="1"/>
    <xf numFmtId="164" fontId="7" fillId="0" borderId="50" xfId="0" applyNumberFormat="1" applyFont="1" applyBorder="1"/>
    <xf numFmtId="164" fontId="7" fillId="0" borderId="51" xfId="0" applyNumberFormat="1" applyFont="1" applyBorder="1"/>
    <xf numFmtId="164" fontId="7" fillId="0" borderId="52" xfId="0" applyNumberFormat="1" applyFont="1" applyBorder="1"/>
    <xf numFmtId="164" fontId="7" fillId="5" borderId="13" xfId="0" applyNumberFormat="1" applyFont="1" applyFill="1" applyBorder="1" applyAlignment="1">
      <alignment horizontal="center"/>
    </xf>
    <xf numFmtId="164" fontId="7" fillId="5" borderId="15" xfId="0" applyNumberFormat="1" applyFont="1" applyFill="1" applyBorder="1" applyAlignment="1">
      <alignment horizontal="center"/>
    </xf>
    <xf numFmtId="164" fontId="7" fillId="5" borderId="32" xfId="0" applyNumberFormat="1" applyFont="1" applyFill="1" applyBorder="1" applyAlignment="1">
      <alignment horizontal="left"/>
    </xf>
    <xf numFmtId="164" fontId="2" fillId="0" borderId="16" xfId="0" applyNumberFormat="1" applyFont="1" applyBorder="1"/>
    <xf numFmtId="164" fontId="2" fillId="0" borderId="0" xfId="0" applyNumberFormat="1" applyFont="1"/>
    <xf numFmtId="164" fontId="2" fillId="0" borderId="34" xfId="0" applyNumberFormat="1" applyFont="1" applyBorder="1"/>
    <xf numFmtId="164" fontId="7" fillId="0" borderId="50" xfId="0" applyNumberFormat="1" applyFont="1" applyBorder="1"/>
    <xf numFmtId="164" fontId="7" fillId="0" borderId="51" xfId="0" applyNumberFormat="1" applyFont="1" applyBorder="1"/>
    <xf numFmtId="164" fontId="7" fillId="0" borderId="52" xfId="0" applyNumberFormat="1" applyFont="1" applyBorder="1"/>
    <xf numFmtId="164" fontId="7" fillId="5" borderId="13" xfId="0" applyNumberFormat="1" applyFont="1" applyFill="1" applyBorder="1" applyAlignment="1">
      <alignment horizontal="center"/>
    </xf>
    <xf numFmtId="164" fontId="7" fillId="5" borderId="15" xfId="0" applyNumberFormat="1" applyFont="1" applyFill="1" applyBorder="1" applyAlignment="1">
      <alignment horizontal="center"/>
    </xf>
    <xf numFmtId="164" fontId="7" fillId="5" borderId="32" xfId="0" applyNumberFormat="1" applyFont="1" applyFill="1" applyBorder="1" applyAlignment="1">
      <alignment horizontal="left"/>
    </xf>
    <xf numFmtId="0" fontId="19" fillId="2" borderId="66" xfId="0" applyFont="1" applyFill="1" applyBorder="1" applyAlignment="1">
      <alignment horizontal="center" vertical="center" wrapText="1"/>
    </xf>
    <xf numFmtId="0" fontId="20" fillId="0" borderId="67" xfId="0" applyFont="1" applyBorder="1" applyAlignment="1">
      <alignment horizontal="right" vertical="center" wrapText="1"/>
    </xf>
    <xf numFmtId="0" fontId="22" fillId="0" borderId="67" xfId="0" applyFont="1" applyBorder="1" applyAlignment="1">
      <alignment horizontal="right" vertical="center" wrapText="1"/>
    </xf>
    <xf numFmtId="165" fontId="22" fillId="0" borderId="67" xfId="0" applyNumberFormat="1" applyFont="1" applyBorder="1" applyAlignment="1">
      <alignment horizontal="right" vertical="center" wrapText="1"/>
    </xf>
    <xf numFmtId="165" fontId="22" fillId="0" borderId="67" xfId="0" applyNumberFormat="1" applyFont="1" applyBorder="1" applyAlignment="1">
      <alignment vertical="center" wrapText="1"/>
    </xf>
    <xf numFmtId="166" fontId="22" fillId="0" borderId="67" xfId="0" applyNumberFormat="1" applyFont="1" applyBorder="1" applyAlignment="1">
      <alignment horizontal="right" vertical="center" wrapText="1"/>
    </xf>
    <xf numFmtId="6" fontId="0" fillId="0" borderId="67" xfId="0" applyNumberFormat="1" applyBorder="1" applyAlignment="1">
      <alignment vertical="center"/>
    </xf>
    <xf numFmtId="8" fontId="0" fillId="0" borderId="67" xfId="0" applyNumberFormat="1" applyBorder="1" applyAlignment="1">
      <alignment vertical="center"/>
    </xf>
    <xf numFmtId="166" fontId="0" fillId="0" borderId="67" xfId="0" applyNumberFormat="1" applyBorder="1" applyAlignment="1">
      <alignment horizontal="right" vertical="center"/>
    </xf>
    <xf numFmtId="166" fontId="22" fillId="0" borderId="67" xfId="0" applyNumberFormat="1" applyFont="1" applyBorder="1" applyAlignment="1">
      <alignment vertical="center" wrapText="1"/>
    </xf>
    <xf numFmtId="0" fontId="22" fillId="0" borderId="67" xfId="0" applyFont="1" applyBorder="1" applyAlignment="1">
      <alignment vertical="center" wrapText="1"/>
    </xf>
    <xf numFmtId="0" fontId="0" fillId="0" borderId="67" xfId="0" applyBorder="1" applyAlignment="1">
      <alignment horizontal="right" vertical="center"/>
    </xf>
    <xf numFmtId="0" fontId="19" fillId="2" borderId="68" xfId="0" applyFont="1" applyFill="1" applyBorder="1" applyAlignment="1">
      <alignment horizontal="center" vertical="center" wrapText="1"/>
    </xf>
    <xf numFmtId="0" fontId="20" fillId="0" borderId="0" xfId="0" applyFont="1" applyBorder="1" applyAlignment="1">
      <alignment horizontal="right" vertical="center" wrapText="1"/>
    </xf>
    <xf numFmtId="0" fontId="20" fillId="0" borderId="69" xfId="0" applyFont="1" applyBorder="1" applyAlignment="1">
      <alignment horizontal="right" vertical="center" wrapText="1"/>
    </xf>
    <xf numFmtId="0" fontId="20" fillId="0" borderId="70" xfId="0" applyFont="1" applyBorder="1" applyAlignment="1">
      <alignment horizontal="right" vertical="center" wrapText="1"/>
    </xf>
    <xf numFmtId="0" fontId="21" fillId="0" borderId="0" xfId="0" applyFont="1" applyBorder="1" applyAlignment="1">
      <alignment horizontal="right" vertical="center" wrapText="1"/>
    </xf>
    <xf numFmtId="0" fontId="21" fillId="0" borderId="69" xfId="0" applyFont="1" applyBorder="1" applyAlignment="1">
      <alignment horizontal="right" vertical="center" wrapText="1"/>
    </xf>
    <xf numFmtId="0" fontId="22" fillId="0" borderId="0" xfId="0" applyFont="1" applyBorder="1" applyAlignment="1">
      <alignment horizontal="right" vertical="center" wrapText="1"/>
    </xf>
    <xf numFmtId="0" fontId="22" fillId="0" borderId="0" xfId="0" applyFont="1" applyBorder="1" applyAlignment="1">
      <alignment vertical="center" wrapText="1"/>
    </xf>
    <xf numFmtId="8" fontId="22" fillId="0" borderId="0" xfId="0" applyNumberFormat="1" applyFont="1" applyBorder="1" applyAlignment="1">
      <alignment vertical="center" wrapText="1"/>
    </xf>
    <xf numFmtId="0" fontId="0" fillId="0" borderId="0" xfId="0" applyBorder="1"/>
    <xf numFmtId="0" fontId="0" fillId="0" borderId="69" xfId="0" applyBorder="1"/>
    <xf numFmtId="165" fontId="22" fillId="0" borderId="0" xfId="0" applyNumberFormat="1" applyFont="1" applyBorder="1" applyAlignment="1">
      <alignment horizontal="right" vertical="center" wrapText="1"/>
    </xf>
    <xf numFmtId="165" fontId="22" fillId="0" borderId="0" xfId="0" applyNumberFormat="1" applyFont="1" applyBorder="1" applyAlignment="1">
      <alignment vertical="center" wrapText="1"/>
    </xf>
    <xf numFmtId="165" fontId="22" fillId="0" borderId="70" xfId="0" applyNumberFormat="1" applyFont="1" applyBorder="1" applyAlignment="1">
      <alignment vertical="center" wrapText="1"/>
    </xf>
    <xf numFmtId="165" fontId="21" fillId="0" borderId="0" xfId="0" applyNumberFormat="1" applyFont="1" applyBorder="1" applyAlignment="1">
      <alignment vertical="center" wrapText="1"/>
    </xf>
    <xf numFmtId="165" fontId="21" fillId="0" borderId="69" xfId="0" applyNumberFormat="1" applyFont="1" applyBorder="1" applyAlignment="1">
      <alignment vertical="center" wrapText="1"/>
    </xf>
    <xf numFmtId="3" fontId="21" fillId="0" borderId="0" xfId="0" applyNumberFormat="1" applyFont="1" applyBorder="1" applyAlignment="1">
      <alignment horizontal="right" vertical="center" wrapText="1"/>
    </xf>
    <xf numFmtId="166" fontId="22" fillId="0" borderId="0" xfId="0" applyNumberFormat="1" applyFont="1" applyBorder="1" applyAlignment="1">
      <alignment horizontal="right" vertical="center" wrapText="1"/>
    </xf>
    <xf numFmtId="6" fontId="0" fillId="0" borderId="0" xfId="0" applyNumberFormat="1" applyBorder="1" applyAlignment="1">
      <alignment vertical="center"/>
    </xf>
    <xf numFmtId="8" fontId="0" fillId="0" borderId="0" xfId="0" applyNumberFormat="1" applyBorder="1" applyAlignment="1">
      <alignment vertical="center"/>
    </xf>
    <xf numFmtId="8" fontId="0" fillId="0" borderId="69" xfId="0" applyNumberFormat="1" applyBorder="1" applyAlignment="1">
      <alignment vertical="center"/>
    </xf>
    <xf numFmtId="167" fontId="0" fillId="0" borderId="0" xfId="0" applyNumberFormat="1" applyBorder="1" applyAlignment="1">
      <alignment vertical="center"/>
    </xf>
    <xf numFmtId="8" fontId="0" fillId="0" borderId="70" xfId="0" applyNumberFormat="1" applyBorder="1" applyAlignment="1">
      <alignment vertical="center"/>
    </xf>
    <xf numFmtId="166" fontId="21" fillId="0" borderId="0" xfId="0" applyNumberFormat="1" applyFont="1" applyBorder="1" applyAlignment="1">
      <alignment horizontal="right" vertical="center" wrapText="1"/>
    </xf>
    <xf numFmtId="166" fontId="21" fillId="0" borderId="0" xfId="0" applyNumberFormat="1" applyFont="1" applyBorder="1" applyAlignment="1">
      <alignment vertical="center" wrapText="1"/>
    </xf>
    <xf numFmtId="166" fontId="21" fillId="0" borderId="69" xfId="0" applyNumberFormat="1" applyFont="1" applyBorder="1" applyAlignment="1">
      <alignment vertical="center" wrapText="1"/>
    </xf>
    <xf numFmtId="166" fontId="22" fillId="0" borderId="0" xfId="0" applyNumberFormat="1" applyFont="1" applyBorder="1" applyAlignment="1">
      <alignment vertical="center" wrapText="1"/>
    </xf>
    <xf numFmtId="165" fontId="22" fillId="0" borderId="69" xfId="0" applyNumberFormat="1" applyFont="1" applyBorder="1" applyAlignment="1">
      <alignment vertical="center" wrapText="1"/>
    </xf>
    <xf numFmtId="165" fontId="0" fillId="0" borderId="0" xfId="0" applyNumberFormat="1" applyBorder="1"/>
    <xf numFmtId="165" fontId="0" fillId="0" borderId="0" xfId="0" applyNumberFormat="1" applyBorder="1" applyAlignment="1">
      <alignment vertical="center"/>
    </xf>
    <xf numFmtId="165" fontId="0" fillId="0" borderId="69" xfId="0" applyNumberFormat="1" applyBorder="1" applyAlignment="1">
      <alignment vertical="center"/>
    </xf>
    <xf numFmtId="165" fontId="0" fillId="0" borderId="69" xfId="0" applyNumberFormat="1" applyBorder="1"/>
    <xf numFmtId="166" fontId="22" fillId="0" borderId="69" xfId="0" applyNumberFormat="1" applyFont="1" applyBorder="1" applyAlignment="1">
      <alignment vertical="center" wrapText="1"/>
    </xf>
    <xf numFmtId="166" fontId="0" fillId="0" borderId="70" xfId="0" applyNumberFormat="1" applyBorder="1" applyAlignment="1">
      <alignment horizontal="right" vertical="center"/>
    </xf>
    <xf numFmtId="166" fontId="22" fillId="0" borderId="70" xfId="0" applyNumberFormat="1" applyFont="1" applyBorder="1" applyAlignment="1">
      <alignment vertical="center" wrapText="1"/>
    </xf>
    <xf numFmtId="166" fontId="21" fillId="0" borderId="69" xfId="0" applyNumberFormat="1" applyFont="1" applyBorder="1" applyAlignment="1">
      <alignment horizontal="right" vertical="center" wrapText="1"/>
    </xf>
    <xf numFmtId="168" fontId="21" fillId="0" borderId="0" xfId="0" applyNumberFormat="1" applyFont="1" applyBorder="1" applyAlignment="1">
      <alignment horizontal="right" vertical="center" wrapText="1"/>
    </xf>
    <xf numFmtId="168" fontId="22" fillId="0" borderId="0" xfId="0" applyNumberFormat="1" applyFont="1" applyBorder="1" applyAlignment="1">
      <alignment horizontal="right" vertical="center" wrapText="1"/>
    </xf>
    <xf numFmtId="168" fontId="22" fillId="0" borderId="0" xfId="0" applyNumberFormat="1" applyFont="1" applyBorder="1" applyAlignment="1">
      <alignment vertical="center" wrapText="1"/>
    </xf>
    <xf numFmtId="3" fontId="22" fillId="0" borderId="0" xfId="0" applyNumberFormat="1" applyFont="1" applyBorder="1" applyAlignment="1">
      <alignment horizontal="right" vertical="center" wrapText="1"/>
    </xf>
    <xf numFmtId="0" fontId="22" fillId="0" borderId="69" xfId="0" applyFont="1" applyBorder="1" applyAlignment="1">
      <alignment horizontal="right" vertical="center" wrapText="1"/>
    </xf>
    <xf numFmtId="0" fontId="22" fillId="0" borderId="69" xfId="0" applyFont="1" applyBorder="1" applyAlignment="1">
      <alignment vertical="center" wrapText="1"/>
    </xf>
    <xf numFmtId="0" fontId="22" fillId="0" borderId="70" xfId="0" applyFont="1" applyBorder="1" applyAlignment="1">
      <alignment vertical="center" wrapText="1"/>
    </xf>
    <xf numFmtId="0" fontId="21" fillId="0" borderId="0" xfId="0" applyFont="1" applyBorder="1" applyAlignment="1">
      <alignment vertical="center" wrapText="1"/>
    </xf>
    <xf numFmtId="0" fontId="21" fillId="0" borderId="69" xfId="0" applyFont="1" applyBorder="1" applyAlignment="1">
      <alignment vertical="center" wrapText="1"/>
    </xf>
    <xf numFmtId="0" fontId="22" fillId="0" borderId="0" xfId="0" applyFont="1" applyBorder="1" applyAlignment="1">
      <alignment horizontal="right" vertical="center"/>
    </xf>
    <xf numFmtId="0" fontId="21" fillId="0" borderId="0" xfId="0" applyFont="1" applyBorder="1" applyAlignment="1">
      <alignment horizontal="right" vertical="center"/>
    </xf>
    <xf numFmtId="0" fontId="23" fillId="0" borderId="71" xfId="0" applyFont="1" applyBorder="1"/>
    <xf numFmtId="0" fontId="23" fillId="0" borderId="72" xfId="0" applyFont="1" applyBorder="1"/>
    <xf numFmtId="0" fontId="2" fillId="0" borderId="0" xfId="0" applyFont="1" applyAlignment="1">
      <alignment horizontal="left" wrapText="1"/>
    </xf>
    <xf numFmtId="0" fontId="3"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xf>
    <xf numFmtId="0" fontId="2" fillId="0" borderId="0" xfId="0" applyFont="1" applyAlignment="1">
      <alignment horizontal="left"/>
    </xf>
    <xf numFmtId="0" fontId="6" fillId="0" borderId="0" xfId="0" applyFont="1" applyAlignment="1">
      <alignment horizontal="left" vertical="top" wrapText="1"/>
    </xf>
    <xf numFmtId="0" fontId="2" fillId="0" borderId="0" xfId="0" applyFont="1" applyAlignment="1">
      <alignment horizontal="left" vertical="top" wrapText="1"/>
    </xf>
    <xf numFmtId="0" fontId="11" fillId="0" borderId="0" xfId="0" applyFont="1" applyAlignment="1">
      <alignment horizontal="left"/>
    </xf>
    <xf numFmtId="0" fontId="12" fillId="0" borderId="0" xfId="0" applyFont="1" applyAlignment="1">
      <alignment horizontal="left"/>
    </xf>
    <xf numFmtId="0" fontId="10" fillId="3" borderId="8" xfId="0" applyFont="1" applyFill="1" applyBorder="1" applyAlignment="1">
      <alignment horizontal="left" vertical="center"/>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6" xfId="0" applyFont="1" applyFill="1" applyBorder="1" applyAlignment="1">
      <alignment horizontal="left" vertical="center"/>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2" xfId="0" applyFont="1" applyFill="1" applyBorder="1" applyAlignment="1">
      <alignment horizontal="left" vertical="center"/>
    </xf>
    <xf numFmtId="0" fontId="10" fillId="3" borderId="33" xfId="0" applyFont="1" applyFill="1" applyBorder="1" applyAlignment="1">
      <alignment horizontal="left" vertical="center"/>
    </xf>
    <xf numFmtId="0" fontId="10" fillId="3" borderId="1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7" fillId="4" borderId="8" xfId="0" applyFont="1" applyFill="1" applyBorder="1" applyAlignment="1">
      <alignment horizontal="left" vertical="center"/>
    </xf>
    <xf numFmtId="0" fontId="7" fillId="4" borderId="21" xfId="0" applyFont="1" applyFill="1" applyBorder="1" applyAlignment="1">
      <alignment horizontal="left" vertical="center"/>
    </xf>
    <xf numFmtId="0" fontId="7" fillId="4" borderId="18" xfId="0" applyFont="1" applyFill="1" applyBorder="1" applyAlignment="1">
      <alignment horizontal="center"/>
    </xf>
    <xf numFmtId="0" fontId="7" fillId="4" borderId="15" xfId="0" applyFont="1" applyFill="1" applyBorder="1" applyAlignment="1">
      <alignment horizontal="center"/>
    </xf>
    <xf numFmtId="0" fontId="10" fillId="3" borderId="44" xfId="0" applyFont="1" applyFill="1" applyBorder="1" applyAlignment="1">
      <alignment horizontal="left" vertical="center"/>
    </xf>
    <xf numFmtId="0" fontId="10" fillId="3" borderId="45" xfId="0" applyFont="1" applyFill="1" applyBorder="1" applyAlignment="1">
      <alignment horizontal="left" vertical="center"/>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10" fillId="3" borderId="49" xfId="0" applyFont="1" applyFill="1" applyBorder="1" applyAlignment="1">
      <alignment horizontal="center"/>
    </xf>
    <xf numFmtId="0" fontId="10" fillId="3" borderId="61" xfId="0" applyFont="1" applyFill="1" applyBorder="1" applyAlignment="1">
      <alignment horizontal="left" vertical="center"/>
    </xf>
    <xf numFmtId="0" fontId="10" fillId="3" borderId="62" xfId="0" applyFont="1" applyFill="1" applyBorder="1" applyAlignment="1">
      <alignment horizontal="left" vertical="center"/>
    </xf>
    <xf numFmtId="0" fontId="10" fillId="3" borderId="63" xfId="0" applyFont="1" applyFill="1" applyBorder="1" applyAlignment="1">
      <alignment horizontal="left" vertical="center"/>
    </xf>
    <xf numFmtId="0" fontId="10" fillId="3" borderId="47" xfId="0" applyFont="1" applyFill="1" applyBorder="1" applyAlignment="1">
      <alignment horizontal="center" vertical="top"/>
    </xf>
    <xf numFmtId="0" fontId="10" fillId="3" borderId="46" xfId="0" applyFont="1" applyFill="1" applyBorder="1" applyAlignment="1">
      <alignment horizontal="center" vertical="top"/>
    </xf>
    <xf numFmtId="0" fontId="10" fillId="3" borderId="49" xfId="0" applyFont="1" applyFill="1" applyBorder="1" applyAlignment="1">
      <alignment horizontal="center" vertical="top"/>
    </xf>
    <xf numFmtId="0" fontId="10" fillId="3" borderId="64" xfId="0" applyFont="1" applyFill="1" applyBorder="1" applyAlignment="1">
      <alignment horizontal="center"/>
    </xf>
    <xf numFmtId="0" fontId="10" fillId="3" borderId="0" xfId="0" applyFont="1" applyFill="1" applyAlignment="1">
      <alignment horizontal="center"/>
    </xf>
    <xf numFmtId="0" fontId="10" fillId="3" borderId="65" xfId="0" applyFont="1" applyFill="1" applyBorder="1" applyAlignment="1">
      <alignment horizontal="center"/>
    </xf>
    <xf numFmtId="0" fontId="1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2026078</xdr:colOff>
      <xdr:row>1</xdr:row>
      <xdr:rowOff>19049</xdr:rowOff>
    </xdr:from>
    <xdr:to>
      <xdr:col>3</xdr:col>
      <xdr:colOff>533400</xdr:colOff>
      <xdr:row>3</xdr:row>
      <xdr:rowOff>544649</xdr:rowOff>
    </xdr:to>
    <xdr:pic>
      <xdr:nvPicPr>
        <xdr:cNvPr id="2" name="Picture 1">
          <a:extLst>
            <a:ext uri="{FF2B5EF4-FFF2-40B4-BE49-F238E27FC236}">
              <a16:creationId xmlns:a16="http://schemas.microsoft.com/office/drawing/2014/main" id="{8F297E93-3C17-4870-A343-2DC715156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4283503" y="209549"/>
          <a:ext cx="3288872" cy="98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energyinfo@mbie.govt.n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38"/>
  <sheetViews>
    <sheetView showGridLines="0" tabSelected="1" workbookViewId="0"/>
  </sheetViews>
  <sheetFormatPr defaultColWidth="11.42578125" defaultRowHeight="15" x14ac:dyDescent="0.25"/>
  <cols>
    <col min="2" max="2" width="24.7109375" customWidth="1"/>
    <col min="3" max="3" width="71.7109375" customWidth="1"/>
  </cols>
  <sheetData>
    <row r="1" spans="1:6" x14ac:dyDescent="0.25">
      <c r="A1" s="9"/>
      <c r="B1" s="9"/>
      <c r="C1" s="9"/>
      <c r="D1" s="9"/>
      <c r="E1" s="9"/>
      <c r="F1" s="9"/>
    </row>
    <row r="2" spans="1:6" ht="21" customHeight="1" x14ac:dyDescent="0.35">
      <c r="A2" s="9"/>
      <c r="B2" s="5" t="s">
        <v>103</v>
      </c>
      <c r="C2" s="2"/>
      <c r="D2" s="9"/>
      <c r="E2" s="9"/>
      <c r="F2" s="9"/>
    </row>
    <row r="3" spans="1:6" x14ac:dyDescent="0.25">
      <c r="A3" s="9"/>
      <c r="B3" s="9"/>
      <c r="C3" s="9"/>
      <c r="D3" s="9"/>
      <c r="E3" s="9"/>
      <c r="F3" s="9"/>
    </row>
    <row r="4" spans="1:6" ht="61.5" customHeight="1" x14ac:dyDescent="0.25">
      <c r="A4" s="9"/>
      <c r="B4" s="235" t="s">
        <v>109</v>
      </c>
      <c r="C4" s="235"/>
      <c r="D4" s="235"/>
      <c r="E4" s="235"/>
      <c r="F4" s="235"/>
    </row>
    <row r="5" spans="1:6" x14ac:dyDescent="0.25">
      <c r="A5" s="9"/>
      <c r="B5" s="7" t="s">
        <v>54</v>
      </c>
      <c r="C5" s="9"/>
      <c r="D5" s="9"/>
      <c r="E5" s="9"/>
      <c r="F5" s="9"/>
    </row>
    <row r="6" spans="1:6" x14ac:dyDescent="0.25">
      <c r="A6" s="9"/>
      <c r="B6" s="9"/>
      <c r="C6" s="9"/>
      <c r="D6" s="9"/>
      <c r="E6" s="9"/>
      <c r="F6" s="9"/>
    </row>
    <row r="7" spans="1:6" ht="18.75" customHeight="1" x14ac:dyDescent="0.3">
      <c r="A7" s="9"/>
      <c r="B7" s="236" t="s">
        <v>110</v>
      </c>
      <c r="C7" s="236"/>
      <c r="D7" s="9"/>
      <c r="E7" s="9"/>
      <c r="F7" s="9"/>
    </row>
    <row r="8" spans="1:6" x14ac:dyDescent="0.25">
      <c r="A8" s="9"/>
      <c r="B8" s="9"/>
      <c r="C8" s="9"/>
      <c r="D8" s="9"/>
      <c r="E8" s="9"/>
      <c r="F8" s="9"/>
    </row>
    <row r="9" spans="1:6" x14ac:dyDescent="0.25">
      <c r="A9" s="9"/>
      <c r="B9" s="8" t="s">
        <v>55</v>
      </c>
      <c r="C9" s="6" t="s">
        <v>128</v>
      </c>
      <c r="D9" s="9"/>
      <c r="E9" s="9"/>
      <c r="F9" s="9"/>
    </row>
    <row r="10" spans="1:6" x14ac:dyDescent="0.25">
      <c r="A10" s="9"/>
      <c r="B10" s="3"/>
      <c r="C10" s="3"/>
      <c r="D10" s="9"/>
      <c r="E10" s="9"/>
      <c r="F10" s="9"/>
    </row>
    <row r="11" spans="1:6" x14ac:dyDescent="0.25">
      <c r="A11" s="9"/>
      <c r="B11" s="8" t="s">
        <v>56</v>
      </c>
      <c r="C11" s="6" t="s">
        <v>129</v>
      </c>
      <c r="D11" s="9"/>
      <c r="E11" s="9"/>
      <c r="F11" s="9"/>
    </row>
    <row r="12" spans="1:6" x14ac:dyDescent="0.25">
      <c r="A12" s="9"/>
      <c r="B12" s="3"/>
      <c r="C12" s="3"/>
      <c r="D12" s="9"/>
      <c r="E12" s="9"/>
      <c r="F12" s="9"/>
    </row>
    <row r="13" spans="1:6" x14ac:dyDescent="0.25">
      <c r="A13" s="9"/>
      <c r="B13" s="8" t="s">
        <v>57</v>
      </c>
      <c r="C13" s="6" t="s">
        <v>130</v>
      </c>
      <c r="D13" s="9"/>
      <c r="E13" s="9"/>
      <c r="F13" s="9"/>
    </row>
    <row r="14" spans="1:6" x14ac:dyDescent="0.25">
      <c r="A14" s="9"/>
      <c r="B14" s="8"/>
      <c r="C14" s="6"/>
      <c r="D14" s="9"/>
      <c r="E14" s="9"/>
      <c r="F14" s="9"/>
    </row>
    <row r="15" spans="1:6" ht="45" x14ac:dyDescent="0.25">
      <c r="A15" s="9"/>
      <c r="B15" s="8" t="s">
        <v>58</v>
      </c>
      <c r="C15" s="1" t="s">
        <v>131</v>
      </c>
      <c r="D15" s="9"/>
      <c r="E15" s="9"/>
      <c r="F15" s="9"/>
    </row>
    <row r="16" spans="1:6" ht="17.25" customHeight="1" x14ac:dyDescent="0.25">
      <c r="A16" s="9"/>
      <c r="B16" s="3"/>
      <c r="C16" s="6" t="s">
        <v>118</v>
      </c>
      <c r="D16" s="9"/>
      <c r="E16" s="9"/>
      <c r="F16" s="9"/>
    </row>
    <row r="17" spans="1:6" x14ac:dyDescent="0.25">
      <c r="A17" s="9"/>
      <c r="B17" s="3"/>
      <c r="C17" s="6"/>
      <c r="D17" s="9"/>
      <c r="E17" s="9"/>
      <c r="F17" s="9"/>
    </row>
    <row r="18" spans="1:6" ht="30" x14ac:dyDescent="0.25">
      <c r="A18" s="9"/>
      <c r="B18" s="8" t="s">
        <v>17</v>
      </c>
      <c r="C18" s="1" t="s">
        <v>132</v>
      </c>
      <c r="D18" s="9"/>
      <c r="E18" s="9"/>
      <c r="F18" s="9"/>
    </row>
    <row r="19" spans="1:6" ht="17.25" customHeight="1" x14ac:dyDescent="0.25">
      <c r="A19" s="9"/>
      <c r="B19" s="3"/>
      <c r="C19" s="6" t="s">
        <v>126</v>
      </c>
      <c r="D19" s="9"/>
      <c r="E19" s="9"/>
      <c r="F19" s="9"/>
    </row>
    <row r="20" spans="1:6" x14ac:dyDescent="0.25">
      <c r="A20" s="9"/>
      <c r="B20" s="3"/>
      <c r="C20" s="6"/>
      <c r="D20" s="9"/>
      <c r="E20" s="9"/>
      <c r="F20" s="9"/>
    </row>
    <row r="21" spans="1:6" ht="30" x14ac:dyDescent="0.25">
      <c r="A21" s="9"/>
      <c r="B21" s="8" t="s">
        <v>59</v>
      </c>
      <c r="C21" s="1" t="s">
        <v>133</v>
      </c>
      <c r="D21" s="9"/>
      <c r="E21" s="9"/>
      <c r="F21" s="9"/>
    </row>
    <row r="22" spans="1:6" x14ac:dyDescent="0.25">
      <c r="A22" s="9"/>
      <c r="B22" s="3"/>
      <c r="C22" s="6" t="s">
        <v>119</v>
      </c>
      <c r="D22" s="9"/>
      <c r="E22" s="9"/>
      <c r="F22" s="9"/>
    </row>
    <row r="23" spans="1:6" x14ac:dyDescent="0.25">
      <c r="A23" s="9"/>
      <c r="B23" s="3"/>
      <c r="C23" s="6"/>
      <c r="D23" s="9"/>
      <c r="E23" s="9"/>
      <c r="F23" s="9"/>
    </row>
    <row r="24" spans="1:6" ht="45" x14ac:dyDescent="0.25">
      <c r="A24" s="9"/>
      <c r="B24" s="8" t="s">
        <v>60</v>
      </c>
      <c r="C24" s="1" t="s">
        <v>134</v>
      </c>
      <c r="D24" s="9"/>
      <c r="E24" s="9"/>
      <c r="F24" s="9"/>
    </row>
    <row r="25" spans="1:6" x14ac:dyDescent="0.25">
      <c r="A25" s="9"/>
      <c r="B25" s="3"/>
      <c r="C25" s="6" t="s">
        <v>120</v>
      </c>
      <c r="D25" s="9"/>
      <c r="E25" s="9"/>
      <c r="F25" s="9"/>
    </row>
    <row r="26" spans="1:6" x14ac:dyDescent="0.25">
      <c r="A26" s="9"/>
      <c r="B26" s="3"/>
      <c r="C26" s="6"/>
      <c r="D26" s="9"/>
      <c r="E26" s="9"/>
      <c r="F26" s="9"/>
    </row>
    <row r="27" spans="1:6" x14ac:dyDescent="0.25">
      <c r="A27" s="9"/>
      <c r="B27" s="8" t="s">
        <v>61</v>
      </c>
      <c r="C27" s="6" t="s">
        <v>135</v>
      </c>
      <c r="D27" s="9"/>
      <c r="E27" s="9"/>
      <c r="F27" s="9"/>
    </row>
    <row r="28" spans="1:6" x14ac:dyDescent="0.25">
      <c r="A28" s="9"/>
      <c r="B28" s="3"/>
      <c r="C28" s="6" t="s">
        <v>127</v>
      </c>
      <c r="D28" s="9"/>
      <c r="E28" s="9"/>
      <c r="F28" s="9"/>
    </row>
    <row r="29" spans="1:6" x14ac:dyDescent="0.25">
      <c r="A29" s="9"/>
      <c r="B29" s="3"/>
      <c r="C29" s="6"/>
      <c r="D29" s="9"/>
      <c r="E29" s="9"/>
      <c r="F29" s="9"/>
    </row>
    <row r="30" spans="1:6" x14ac:dyDescent="0.25">
      <c r="A30" s="9"/>
      <c r="B30" s="8" t="s">
        <v>62</v>
      </c>
      <c r="C30" s="6" t="s">
        <v>136</v>
      </c>
      <c r="D30" s="9"/>
      <c r="E30" s="9"/>
      <c r="F30" s="9"/>
    </row>
    <row r="31" spans="1:6" x14ac:dyDescent="0.25">
      <c r="A31" s="9"/>
      <c r="B31" s="3"/>
      <c r="C31" s="3"/>
      <c r="D31" s="9"/>
      <c r="E31" s="9"/>
      <c r="F31" s="9"/>
    </row>
    <row r="32" spans="1:6" x14ac:dyDescent="0.25">
      <c r="A32" s="9"/>
      <c r="B32" s="8" t="s">
        <v>63</v>
      </c>
      <c r="C32" s="6" t="s">
        <v>121</v>
      </c>
      <c r="D32" s="9"/>
      <c r="E32" s="9"/>
      <c r="F32" s="9"/>
    </row>
    <row r="33" spans="1:6" x14ac:dyDescent="0.25">
      <c r="A33" s="9"/>
      <c r="B33" s="3"/>
      <c r="C33" s="3"/>
      <c r="D33" s="9"/>
      <c r="E33" s="9"/>
      <c r="F33" s="9"/>
    </row>
    <row r="34" spans="1:6" x14ac:dyDescent="0.25">
      <c r="A34" s="9"/>
      <c r="B34" s="8" t="s">
        <v>64</v>
      </c>
      <c r="C34" s="6" t="s">
        <v>122</v>
      </c>
      <c r="D34" s="9"/>
      <c r="E34" s="9"/>
      <c r="F34" s="9"/>
    </row>
    <row r="35" spans="1:6" x14ac:dyDescent="0.25">
      <c r="A35" s="9"/>
      <c r="B35" s="3"/>
      <c r="C35" s="3"/>
      <c r="D35" s="9"/>
      <c r="E35" s="9"/>
      <c r="F35" s="9"/>
    </row>
    <row r="36" spans="1:6" x14ac:dyDescent="0.25">
      <c r="A36" s="9"/>
      <c r="B36" s="8" t="s">
        <v>123</v>
      </c>
      <c r="C36" s="6" t="s">
        <v>124</v>
      </c>
      <c r="D36" s="9"/>
      <c r="E36" s="9"/>
      <c r="F36" s="9"/>
    </row>
    <row r="37" spans="1:6" x14ac:dyDescent="0.25">
      <c r="A37" s="9"/>
      <c r="B37" s="3"/>
      <c r="C37" s="3"/>
      <c r="D37" s="9"/>
      <c r="E37" s="9"/>
      <c r="F37" s="9"/>
    </row>
    <row r="38" spans="1:6" x14ac:dyDescent="0.25">
      <c r="B38" s="8" t="s">
        <v>125</v>
      </c>
      <c r="C38" s="6" t="s">
        <v>215</v>
      </c>
    </row>
  </sheetData>
  <mergeCells count="2">
    <mergeCell ref="B4:F4"/>
    <mergeCell ref="B7:C7"/>
  </mergeCells>
  <hyperlinks>
    <hyperlink ref="B5" r:id="rId1" xr:uid="{00000000-0004-0000-0000-000000000000}"/>
    <hyperlink ref="B9" location="Notes!A1" display="Notes" xr:uid="{00000000-0004-0000-0000-000001000000}"/>
    <hyperlink ref="B11" location="Glossary!A1" display="Glossary" xr:uid="{00000000-0004-0000-0000-000002000000}"/>
    <hyperlink ref="B15" location="'Oil and Condensate'!A1" display="Oil and Condensate" xr:uid="{00000000-0004-0000-0000-000003000000}"/>
    <hyperlink ref="B18" location="GAS!A1" display="Gas" xr:uid="{00000000-0004-0000-0000-000004000000}"/>
    <hyperlink ref="B21" location="LPG!A1" display="LPG" xr:uid="{00000000-0004-0000-0000-000005000000}"/>
    <hyperlink ref="B24" location="'Gas and LPG Combined'!A1" display="Gas and LPG combined" xr:uid="{00000000-0004-0000-0000-000006000000}"/>
    <hyperlink ref="B27" location="'Gas System Deliverability'!A1" display="Gas system deliverability" xr:uid="{00000000-0004-0000-0000-000007000000}"/>
    <hyperlink ref="B30" location="'2C Resources'!A1" display="2C resources" xr:uid="{00000000-0004-0000-0000-000008000000}"/>
    <hyperlink ref="B32" location="'Petroleum Initially in Place'!A1" display="Petroleum Initially in Place" xr:uid="{00000000-0004-0000-0000-000009000000}"/>
    <hyperlink ref="B34" location="'Oil Production Profile'!A1" display="Oil production profile" xr:uid="{00000000-0004-0000-0000-00000A000000}"/>
    <hyperlink ref="B36" location="'Gas Production Profile'!A1" display="Gas production profile" xr:uid="{00000000-0004-0000-0000-00000B000000}"/>
    <hyperlink ref="B13" location="Activity!A1" display="Activity" xr:uid="{00000000-0004-0000-0000-00000C000000}"/>
    <hyperlink ref="B38" location="'LPG Production Profile'!A1" display="LPG production profile" xr:uid="{00000000-0004-0000-0000-00000D00000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CAD2D"/>
    <pageSetUpPr fitToPage="1"/>
  </sheetPr>
  <dimension ref="B2:F21"/>
  <sheetViews>
    <sheetView showGridLines="0" zoomScale="85" zoomScaleNormal="85" workbookViewId="0"/>
  </sheetViews>
  <sheetFormatPr defaultColWidth="11.42578125" defaultRowHeight="15" x14ac:dyDescent="0.25"/>
  <cols>
    <col min="1" max="1" width="10.140625" customWidth="1"/>
    <col min="2" max="2" width="36" customWidth="1"/>
    <col min="3" max="6" width="13.28515625" customWidth="1"/>
  </cols>
  <sheetData>
    <row r="2" spans="2:6" ht="17.100000000000001" customHeight="1" x14ac:dyDescent="0.35">
      <c r="B2" s="242" t="s">
        <v>175</v>
      </c>
      <c r="C2" s="243"/>
      <c r="D2" s="243"/>
      <c r="E2" s="243"/>
      <c r="F2" s="243"/>
    </row>
    <row r="3" spans="2:6" ht="12" customHeight="1" x14ac:dyDescent="0.25"/>
    <row r="4" spans="2:6" ht="30" customHeight="1" x14ac:dyDescent="0.25">
      <c r="B4" s="121" t="s">
        <v>0</v>
      </c>
      <c r="C4" s="122" t="s">
        <v>115</v>
      </c>
      <c r="D4" s="123" t="s">
        <v>116</v>
      </c>
      <c r="E4" s="123" t="s">
        <v>111</v>
      </c>
      <c r="F4" s="124" t="s">
        <v>15</v>
      </c>
    </row>
    <row r="5" spans="2:6" x14ac:dyDescent="0.25">
      <c r="B5" s="129" t="s">
        <v>138</v>
      </c>
      <c r="C5" s="125">
        <v>0.163535075</v>
      </c>
      <c r="D5" s="125"/>
      <c r="E5" s="125"/>
      <c r="F5" s="126">
        <v>0.15594040000000001</v>
      </c>
    </row>
    <row r="6" spans="2:6" x14ac:dyDescent="0.25">
      <c r="B6" s="130" t="s">
        <v>142</v>
      </c>
      <c r="C6" s="128">
        <v>6.4156067810000001</v>
      </c>
      <c r="D6" s="128">
        <v>3.8430742580000001</v>
      </c>
      <c r="E6" s="128"/>
      <c r="F6" s="127">
        <v>33.616300000000003</v>
      </c>
    </row>
    <row r="7" spans="2:6" x14ac:dyDescent="0.25">
      <c r="B7" s="130" t="s">
        <v>144</v>
      </c>
      <c r="C7" s="128"/>
      <c r="D7" s="128">
        <v>11.21787715</v>
      </c>
      <c r="E7" s="128">
        <v>1592.8456759999999</v>
      </c>
      <c r="F7" s="127">
        <v>574.68887800000005</v>
      </c>
    </row>
    <row r="8" spans="2:6" x14ac:dyDescent="0.25">
      <c r="B8" s="130" t="s">
        <v>176</v>
      </c>
      <c r="C8" s="128"/>
      <c r="D8" s="128"/>
      <c r="E8" s="128"/>
      <c r="F8" s="127">
        <v>155.8518</v>
      </c>
    </row>
    <row r="9" spans="2:6" x14ac:dyDescent="0.25">
      <c r="B9" s="130" t="s">
        <v>146</v>
      </c>
      <c r="C9" s="128">
        <v>45.109892422999998</v>
      </c>
      <c r="D9" s="128"/>
      <c r="E9" s="128">
        <v>653.10386389999996</v>
      </c>
      <c r="F9" s="127">
        <v>153.01780117999999</v>
      </c>
    </row>
    <row r="10" spans="2:6" x14ac:dyDescent="0.25">
      <c r="B10" s="130" t="s">
        <v>147</v>
      </c>
      <c r="C10" s="128"/>
      <c r="D10" s="128">
        <v>2.2014336989999999</v>
      </c>
      <c r="E10" s="128"/>
      <c r="F10" s="127">
        <v>65.961699999999993</v>
      </c>
    </row>
    <row r="11" spans="2:6" x14ac:dyDescent="0.25">
      <c r="B11" s="130" t="s">
        <v>148</v>
      </c>
      <c r="C11" s="128">
        <v>0.61011162500000005</v>
      </c>
      <c r="D11" s="128">
        <v>2.7171981660000002</v>
      </c>
      <c r="E11" s="128">
        <v>166.51900000000001</v>
      </c>
      <c r="F11" s="127">
        <v>39.207774999999998</v>
      </c>
    </row>
    <row r="12" spans="2:6" x14ac:dyDescent="0.25">
      <c r="B12" s="130" t="s">
        <v>149</v>
      </c>
      <c r="C12" s="128">
        <v>26.731694921999999</v>
      </c>
      <c r="D12" s="128"/>
      <c r="E12" s="128"/>
      <c r="F12" s="127"/>
    </row>
    <row r="13" spans="2:6" x14ac:dyDescent="0.25">
      <c r="B13" s="130" t="s">
        <v>150</v>
      </c>
      <c r="C13" s="128"/>
      <c r="D13" s="128">
        <v>1.359857045</v>
      </c>
      <c r="E13" s="128">
        <v>1.41</v>
      </c>
      <c r="F13" s="127">
        <v>170.8904775</v>
      </c>
    </row>
    <row r="14" spans="2:6" x14ac:dyDescent="0.25">
      <c r="B14" s="130" t="s">
        <v>151</v>
      </c>
      <c r="C14" s="128"/>
      <c r="D14" s="128">
        <v>2.4152872589999999</v>
      </c>
      <c r="E14" s="128">
        <v>56.582000000000001</v>
      </c>
      <c r="F14" s="127">
        <v>75.886899999999997</v>
      </c>
    </row>
    <row r="15" spans="2:6" x14ac:dyDescent="0.25">
      <c r="B15" s="130" t="s">
        <v>152</v>
      </c>
      <c r="C15" s="128">
        <v>24.106956974999999</v>
      </c>
      <c r="D15" s="128"/>
      <c r="E15" s="128"/>
      <c r="F15" s="127">
        <v>43.8327405</v>
      </c>
    </row>
    <row r="16" spans="2:6" x14ac:dyDescent="0.25">
      <c r="B16" s="130" t="s">
        <v>153</v>
      </c>
      <c r="C16" s="128"/>
      <c r="D16" s="128">
        <v>9.0573272209999995</v>
      </c>
      <c r="E16" s="128"/>
      <c r="F16" s="127">
        <v>359.39339999999999</v>
      </c>
    </row>
    <row r="17" spans="2:6" x14ac:dyDescent="0.25">
      <c r="B17" s="130" t="s">
        <v>177</v>
      </c>
      <c r="C17" s="128">
        <v>0.16919590400000001</v>
      </c>
      <c r="D17" s="128"/>
      <c r="E17" s="128"/>
      <c r="F17" s="127">
        <v>1.81685505</v>
      </c>
    </row>
    <row r="18" spans="2:6" x14ac:dyDescent="0.25">
      <c r="B18" s="130" t="s">
        <v>154</v>
      </c>
      <c r="C18" s="128"/>
      <c r="D18" s="128">
        <v>4.4028673999999997E-2</v>
      </c>
      <c r="E18" s="128"/>
      <c r="F18" s="127">
        <v>0.93600000000000005</v>
      </c>
    </row>
    <row r="19" spans="2:6" x14ac:dyDescent="0.25">
      <c r="B19" s="130" t="s">
        <v>155</v>
      </c>
      <c r="C19" s="128">
        <v>55.491224774000003</v>
      </c>
      <c r="D19" s="128"/>
      <c r="E19" s="128">
        <v>642.44932180000001</v>
      </c>
      <c r="F19" s="127">
        <v>201.84364515999999</v>
      </c>
    </row>
    <row r="20" spans="2:6" x14ac:dyDescent="0.25">
      <c r="B20" s="130" t="s">
        <v>159</v>
      </c>
      <c r="C20" s="128"/>
      <c r="D20" s="128">
        <v>2.2140133209999999</v>
      </c>
      <c r="E20" s="128"/>
      <c r="F20" s="127">
        <v>72.437200000000004</v>
      </c>
    </row>
    <row r="21" spans="2:6" x14ac:dyDescent="0.25">
      <c r="B21" s="133" t="s">
        <v>169</v>
      </c>
      <c r="C21" s="131">
        <v>158.79821847900001</v>
      </c>
      <c r="D21" s="131">
        <v>35.070096792999998</v>
      </c>
      <c r="E21" s="131">
        <v>3112.9098617</v>
      </c>
      <c r="F21" s="132">
        <v>1949.53741279</v>
      </c>
    </row>
  </sheetData>
  <mergeCells count="1">
    <mergeCell ref="B2:F2"/>
  </mergeCells>
  <pageMargins left="0.05" right="0.05" top="0.5" bottom="0.5" header="0" footer="0"/>
  <pageSetup paperSize="9"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CAD2D"/>
    <pageSetUpPr fitToPage="1"/>
  </sheetPr>
  <dimension ref="B2:T29"/>
  <sheetViews>
    <sheetView showGridLines="0" zoomScale="85" zoomScaleNormal="85" zoomScalePageLayoutView="90" workbookViewId="0"/>
  </sheetViews>
  <sheetFormatPr defaultColWidth="11.42578125" defaultRowHeight="15" x14ac:dyDescent="0.25"/>
  <cols>
    <col min="1" max="1" width="10.140625" customWidth="1"/>
    <col min="2" max="2" width="36" customWidth="1"/>
    <col min="3" max="20" width="11.42578125" customWidth="1"/>
  </cols>
  <sheetData>
    <row r="2" spans="2:20" ht="17.100000000000001" customHeight="1" x14ac:dyDescent="0.35">
      <c r="B2" s="242" t="s">
        <v>178</v>
      </c>
      <c r="C2" s="243"/>
      <c r="D2" s="243"/>
      <c r="E2" s="243"/>
      <c r="F2" s="243"/>
      <c r="G2" s="243"/>
      <c r="H2" s="243"/>
      <c r="I2" s="243"/>
      <c r="J2" s="243"/>
      <c r="K2" s="243"/>
      <c r="L2" s="243"/>
      <c r="M2" s="243"/>
      <c r="N2" s="243"/>
      <c r="O2" s="243"/>
      <c r="P2" s="243"/>
      <c r="Q2" s="243"/>
      <c r="R2" s="243"/>
      <c r="S2" s="243"/>
      <c r="T2" s="243"/>
    </row>
    <row r="3" spans="2:20" ht="12" customHeight="1" x14ac:dyDescent="0.25"/>
    <row r="4" spans="2:20" ht="17.100000000000001" customHeight="1" x14ac:dyDescent="0.25">
      <c r="B4" s="265" t="s">
        <v>0</v>
      </c>
      <c r="C4" s="268" t="s">
        <v>16</v>
      </c>
      <c r="D4" s="269"/>
      <c r="E4" s="269"/>
      <c r="F4" s="269"/>
      <c r="G4" s="269"/>
      <c r="H4" s="269"/>
      <c r="I4" s="269"/>
      <c r="J4" s="269"/>
      <c r="K4" s="269"/>
      <c r="L4" s="268" t="s">
        <v>17</v>
      </c>
      <c r="M4" s="269"/>
      <c r="N4" s="269"/>
      <c r="O4" s="269"/>
      <c r="P4" s="269"/>
      <c r="Q4" s="269"/>
      <c r="R4" s="269"/>
      <c r="S4" s="269"/>
      <c r="T4" s="270"/>
    </row>
    <row r="5" spans="2:20" ht="17.100000000000001" customHeight="1" x14ac:dyDescent="0.25">
      <c r="B5" s="266"/>
      <c r="C5" s="271" t="s">
        <v>18</v>
      </c>
      <c r="D5" s="272"/>
      <c r="E5" s="272"/>
      <c r="F5" s="271" t="s">
        <v>19</v>
      </c>
      <c r="G5" s="272"/>
      <c r="H5" s="272"/>
      <c r="I5" s="271" t="s">
        <v>20</v>
      </c>
      <c r="J5" s="272"/>
      <c r="K5" s="272"/>
      <c r="L5" s="271" t="s">
        <v>18</v>
      </c>
      <c r="M5" s="272"/>
      <c r="N5" s="272"/>
      <c r="O5" s="271" t="s">
        <v>19</v>
      </c>
      <c r="P5" s="272"/>
      <c r="Q5" s="272"/>
      <c r="R5" s="271" t="s">
        <v>20</v>
      </c>
      <c r="S5" s="272"/>
      <c r="T5" s="273"/>
    </row>
    <row r="6" spans="2:20" ht="17.100000000000001" customHeight="1" x14ac:dyDescent="0.25">
      <c r="B6" s="267"/>
      <c r="C6" s="101" t="s">
        <v>114</v>
      </c>
      <c r="D6" s="100" t="s">
        <v>21</v>
      </c>
      <c r="E6" s="100" t="s">
        <v>8</v>
      </c>
      <c r="F6" s="101" t="s">
        <v>114</v>
      </c>
      <c r="G6" s="100" t="s">
        <v>21</v>
      </c>
      <c r="H6" s="100" t="s">
        <v>8</v>
      </c>
      <c r="I6" s="101" t="s">
        <v>114</v>
      </c>
      <c r="J6" s="100" t="s">
        <v>21</v>
      </c>
      <c r="K6" s="100" t="s">
        <v>8</v>
      </c>
      <c r="L6" s="101" t="s">
        <v>114</v>
      </c>
      <c r="M6" s="100" t="s">
        <v>22</v>
      </c>
      <c r="N6" s="100" t="s">
        <v>8</v>
      </c>
      <c r="O6" s="101" t="s">
        <v>114</v>
      </c>
      <c r="P6" s="100" t="s">
        <v>22</v>
      </c>
      <c r="Q6" s="100" t="s">
        <v>8</v>
      </c>
      <c r="R6" s="101" t="s">
        <v>114</v>
      </c>
      <c r="S6" s="100" t="s">
        <v>22</v>
      </c>
      <c r="T6" s="103" t="s">
        <v>8</v>
      </c>
    </row>
    <row r="7" spans="2:20" x14ac:dyDescent="0.25">
      <c r="B7" s="138" t="s">
        <v>140</v>
      </c>
      <c r="C7" s="134">
        <v>1.2229000000000001</v>
      </c>
      <c r="D7" s="134">
        <v>7.6918093460000003</v>
      </c>
      <c r="E7" s="134">
        <v>45.920513569999997</v>
      </c>
      <c r="F7" s="140">
        <v>1.4757</v>
      </c>
      <c r="G7" s="134">
        <v>9.2818734579999997</v>
      </c>
      <c r="H7" s="134">
        <v>55.413281439999999</v>
      </c>
      <c r="I7" s="140">
        <v>1.9654</v>
      </c>
      <c r="J7" s="134">
        <v>12.36199369</v>
      </c>
      <c r="K7" s="134">
        <v>73.801764140000003</v>
      </c>
      <c r="L7" s="140">
        <v>214.7638</v>
      </c>
      <c r="M7" s="134">
        <v>7.5843120810000002</v>
      </c>
      <c r="N7" s="134">
        <v>12.971733520000001</v>
      </c>
      <c r="O7" s="140">
        <v>259.15730000000002</v>
      </c>
      <c r="P7" s="134">
        <v>9.1520537500000003</v>
      </c>
      <c r="Q7" s="134">
        <v>15.65310092</v>
      </c>
      <c r="R7" s="140">
        <v>345.15210000000002</v>
      </c>
      <c r="S7" s="134">
        <v>12.188931480000001</v>
      </c>
      <c r="T7" s="135">
        <v>20.847186839999999</v>
      </c>
    </row>
    <row r="8" spans="2:20" x14ac:dyDescent="0.25">
      <c r="B8" s="139" t="s">
        <v>138</v>
      </c>
      <c r="C8" s="137">
        <v>3.8454000000000002</v>
      </c>
      <c r="D8" s="137">
        <v>24.186837570000002</v>
      </c>
      <c r="E8" s="137">
        <v>140.9286717</v>
      </c>
      <c r="F8" s="141">
        <v>4.3789999999999996</v>
      </c>
      <c r="G8" s="137">
        <v>27.543080490000001</v>
      </c>
      <c r="H8" s="137">
        <v>160.48438479999999</v>
      </c>
      <c r="I8" s="141">
        <v>5.3555999999999999</v>
      </c>
      <c r="J8" s="137">
        <v>33.685709490000001</v>
      </c>
      <c r="K8" s="137">
        <v>196.27544449999999</v>
      </c>
      <c r="L8" s="141">
        <v>481.48439999999999</v>
      </c>
      <c r="M8" s="137">
        <v>17.003461250000001</v>
      </c>
      <c r="N8" s="137">
        <v>19.981602599999999</v>
      </c>
      <c r="O8" s="141">
        <v>548.29139999999995</v>
      </c>
      <c r="P8" s="137">
        <v>19.36272821</v>
      </c>
      <c r="Q8" s="137">
        <v>22.754093099999999</v>
      </c>
      <c r="R8" s="141">
        <v>670.57860000000005</v>
      </c>
      <c r="S8" s="137">
        <v>23.681259959999998</v>
      </c>
      <c r="T8" s="136">
        <v>27.829011900000001</v>
      </c>
    </row>
    <row r="9" spans="2:20" x14ac:dyDescent="0.25">
      <c r="B9" s="139" t="s">
        <v>141</v>
      </c>
      <c r="C9" s="137">
        <v>0.64800000000000002</v>
      </c>
      <c r="D9" s="137">
        <v>4.0757972489999998</v>
      </c>
      <c r="E9" s="137">
        <v>23.92156542</v>
      </c>
      <c r="F9" s="141">
        <v>0.70689999999999997</v>
      </c>
      <c r="G9" s="137">
        <v>4.4462670920000003</v>
      </c>
      <c r="H9" s="137">
        <v>26.095917589999999</v>
      </c>
      <c r="I9" s="141">
        <v>0.74280000000000002</v>
      </c>
      <c r="J9" s="137">
        <v>4.672071291</v>
      </c>
      <c r="K9" s="137">
        <v>27.421201849999999</v>
      </c>
      <c r="L9" s="141">
        <v>285.13470000000001</v>
      </c>
      <c r="M9" s="137">
        <v>10.069436980000001</v>
      </c>
      <c r="N9" s="137">
        <v>19.78834818</v>
      </c>
      <c r="O9" s="141">
        <v>311.01780000000002</v>
      </c>
      <c r="P9" s="137">
        <v>10.98349004</v>
      </c>
      <c r="Q9" s="137">
        <v>21.58463532</v>
      </c>
      <c r="R9" s="141">
        <v>326.82760000000002</v>
      </c>
      <c r="S9" s="137">
        <v>11.54180786</v>
      </c>
      <c r="T9" s="136">
        <v>22.68183544</v>
      </c>
    </row>
    <row r="10" spans="2:20" x14ac:dyDescent="0.25">
      <c r="B10" s="139" t="s">
        <v>142</v>
      </c>
      <c r="C10" s="137">
        <v>12.538</v>
      </c>
      <c r="D10" s="137">
        <v>78.861644923</v>
      </c>
      <c r="E10" s="137">
        <v>384.05544576400001</v>
      </c>
      <c r="F10" s="141">
        <v>12.8819</v>
      </c>
      <c r="G10" s="137">
        <v>81.024710780999996</v>
      </c>
      <c r="H10" s="137">
        <v>394.57224302999998</v>
      </c>
      <c r="I10" s="141">
        <v>14.493</v>
      </c>
      <c r="J10" s="137">
        <v>91.158224587000007</v>
      </c>
      <c r="K10" s="137">
        <v>443.84125195000001</v>
      </c>
      <c r="L10" s="141">
        <v>3520.2370999999998</v>
      </c>
      <c r="M10" s="137">
        <v>124.31600095</v>
      </c>
      <c r="N10" s="137">
        <v>138.14141287000001</v>
      </c>
      <c r="O10" s="141">
        <v>4462.2268000000004</v>
      </c>
      <c r="P10" s="137">
        <v>157.58205351999999</v>
      </c>
      <c r="Q10" s="137">
        <v>175.53840396000001</v>
      </c>
      <c r="R10" s="141">
        <v>5253.4861000000001</v>
      </c>
      <c r="S10" s="137">
        <v>185.52511222000001</v>
      </c>
      <c r="T10" s="136">
        <v>206.9513982</v>
      </c>
    </row>
    <row r="11" spans="2:20" x14ac:dyDescent="0.25">
      <c r="B11" s="139" t="s">
        <v>144</v>
      </c>
      <c r="C11" s="137">
        <v>32.735500000000002</v>
      </c>
      <c r="D11" s="137">
        <v>205.9000939</v>
      </c>
      <c r="E11" s="137">
        <v>1122.689065</v>
      </c>
      <c r="F11" s="141">
        <v>48.9681</v>
      </c>
      <c r="G11" s="137">
        <v>308.00007299999999</v>
      </c>
      <c r="H11" s="137">
        <v>1679.3985250000001</v>
      </c>
      <c r="I11" s="141">
        <v>61.241900000000001</v>
      </c>
      <c r="J11" s="137">
        <v>385.19994989999998</v>
      </c>
      <c r="K11" s="137">
        <v>2100.337904</v>
      </c>
      <c r="L11" s="141">
        <v>80920.976299999995</v>
      </c>
      <c r="M11" s="137">
        <v>2857.6973309999998</v>
      </c>
      <c r="N11" s="137">
        <v>2120.1295789999999</v>
      </c>
      <c r="O11" s="141">
        <v>120890</v>
      </c>
      <c r="P11" s="137">
        <v>4269.1960120000003</v>
      </c>
      <c r="Q11" s="137">
        <v>3167.3223910000002</v>
      </c>
      <c r="R11" s="141">
        <v>151336</v>
      </c>
      <c r="S11" s="137">
        <v>5344.3950050000003</v>
      </c>
      <c r="T11" s="136">
        <v>3965.0140019999999</v>
      </c>
    </row>
    <row r="12" spans="2:20" x14ac:dyDescent="0.25">
      <c r="B12" s="139" t="s">
        <v>176</v>
      </c>
      <c r="C12" s="137">
        <v>0</v>
      </c>
      <c r="D12" s="137">
        <v>0</v>
      </c>
      <c r="E12" s="137">
        <v>0</v>
      </c>
      <c r="F12" s="141">
        <v>0</v>
      </c>
      <c r="G12" s="137">
        <v>0</v>
      </c>
      <c r="H12" s="137">
        <v>0</v>
      </c>
      <c r="I12" s="141">
        <v>0</v>
      </c>
      <c r="J12" s="137">
        <v>0</v>
      </c>
      <c r="K12" s="137">
        <v>0</v>
      </c>
      <c r="L12" s="141">
        <v>4446</v>
      </c>
      <c r="M12" s="137">
        <v>157.00900949999999</v>
      </c>
      <c r="N12" s="137">
        <v>167.61420000000001</v>
      </c>
      <c r="O12" s="141">
        <v>5493</v>
      </c>
      <c r="P12" s="137">
        <v>193.9834658</v>
      </c>
      <c r="Q12" s="137">
        <v>207.08609999999999</v>
      </c>
      <c r="R12" s="141">
        <v>6683</v>
      </c>
      <c r="S12" s="137">
        <v>236.00791960000001</v>
      </c>
      <c r="T12" s="136">
        <v>251.94909999999999</v>
      </c>
    </row>
    <row r="13" spans="2:20" x14ac:dyDescent="0.25">
      <c r="B13" s="139" t="s">
        <v>146</v>
      </c>
      <c r="C13" s="137">
        <v>129.49529999999999</v>
      </c>
      <c r="D13" s="137">
        <v>814.50090668500002</v>
      </c>
      <c r="E13" s="137">
        <v>4686.3016285699996</v>
      </c>
      <c r="F13" s="141">
        <v>145.70570000000001</v>
      </c>
      <c r="G13" s="137">
        <v>916.46125199599999</v>
      </c>
      <c r="H13" s="137">
        <v>5274.0467139900002</v>
      </c>
      <c r="I13" s="141">
        <v>179.83109999999999</v>
      </c>
      <c r="J13" s="137">
        <v>1131.1035534299999</v>
      </c>
      <c r="K13" s="137">
        <v>6511.8276876</v>
      </c>
      <c r="L13" s="141">
        <v>17921.242200000001</v>
      </c>
      <c r="M13" s="137">
        <v>632.88270055999999</v>
      </c>
      <c r="N13" s="137">
        <v>738.35517867999999</v>
      </c>
      <c r="O13" s="141">
        <v>20070.850399999999</v>
      </c>
      <c r="P13" s="137">
        <v>708.79539824000005</v>
      </c>
      <c r="Q13" s="137">
        <v>826.91903649999995</v>
      </c>
      <c r="R13" s="141">
        <v>24683.855299999999</v>
      </c>
      <c r="S13" s="137">
        <v>871.70213020999995</v>
      </c>
      <c r="T13" s="136">
        <v>1016.9748382400001</v>
      </c>
    </row>
    <row r="14" spans="2:20" x14ac:dyDescent="0.25">
      <c r="B14" s="139" t="s">
        <v>147</v>
      </c>
      <c r="C14" s="137">
        <v>0.35139999999999999</v>
      </c>
      <c r="D14" s="137">
        <v>2.210239434</v>
      </c>
      <c r="E14" s="137">
        <v>13.264988839999999</v>
      </c>
      <c r="F14" s="141">
        <v>0.4703</v>
      </c>
      <c r="G14" s="137">
        <v>2.9580979109999999</v>
      </c>
      <c r="H14" s="137">
        <v>17.753341639999999</v>
      </c>
      <c r="I14" s="141">
        <v>0.70889999999999997</v>
      </c>
      <c r="J14" s="137">
        <v>4.4588467129999998</v>
      </c>
      <c r="K14" s="137">
        <v>26.760246420000001</v>
      </c>
      <c r="L14" s="141">
        <v>3129.12</v>
      </c>
      <c r="M14" s="137">
        <v>110.5038308</v>
      </c>
      <c r="N14" s="137">
        <v>122.348592</v>
      </c>
      <c r="O14" s="141">
        <v>3934.67</v>
      </c>
      <c r="P14" s="137">
        <v>138.95156080000001</v>
      </c>
      <c r="Q14" s="137">
        <v>153.845597</v>
      </c>
      <c r="R14" s="141">
        <v>4791.3</v>
      </c>
      <c r="S14" s="137">
        <v>169.20316399999999</v>
      </c>
      <c r="T14" s="136">
        <v>187.33983000000001</v>
      </c>
    </row>
    <row r="15" spans="2:20" x14ac:dyDescent="0.25">
      <c r="B15" s="139" t="s">
        <v>148</v>
      </c>
      <c r="C15" s="137">
        <v>2.72</v>
      </c>
      <c r="D15" s="137">
        <v>17.108284749999999</v>
      </c>
      <c r="E15" s="137">
        <v>99.79969337</v>
      </c>
      <c r="F15" s="141">
        <v>3.77</v>
      </c>
      <c r="G15" s="137">
        <v>23.71258585</v>
      </c>
      <c r="H15" s="137">
        <v>138.32531030000001</v>
      </c>
      <c r="I15" s="141">
        <v>5.33</v>
      </c>
      <c r="J15" s="137">
        <v>33.524690339999999</v>
      </c>
      <c r="K15" s="137">
        <v>195.56336970000001</v>
      </c>
      <c r="L15" s="141">
        <v>13300.81</v>
      </c>
      <c r="M15" s="137">
        <v>469.71367600000002</v>
      </c>
      <c r="N15" s="137">
        <v>533.362481</v>
      </c>
      <c r="O15" s="141">
        <v>14289.03</v>
      </c>
      <c r="P15" s="137">
        <v>504.61233620000002</v>
      </c>
      <c r="Q15" s="137">
        <v>572.99010299999998</v>
      </c>
      <c r="R15" s="141">
        <v>16056.63</v>
      </c>
      <c r="S15" s="137">
        <v>567.03454160000001</v>
      </c>
      <c r="T15" s="136">
        <v>643.87086299999999</v>
      </c>
    </row>
    <row r="16" spans="2:20" x14ac:dyDescent="0.25">
      <c r="B16" s="139" t="s">
        <v>149</v>
      </c>
      <c r="C16" s="137">
        <v>50.063499999999998</v>
      </c>
      <c r="D16" s="137">
        <v>314.88993147299999</v>
      </c>
      <c r="E16" s="137">
        <v>1936.0183092300001</v>
      </c>
      <c r="F16" s="141">
        <v>69.9358</v>
      </c>
      <c r="G16" s="137">
        <v>439.88293413999997</v>
      </c>
      <c r="H16" s="137">
        <v>2704.5050643899999</v>
      </c>
      <c r="I16" s="141">
        <v>92.196100000000001</v>
      </c>
      <c r="J16" s="137">
        <v>579.89600425000003</v>
      </c>
      <c r="K16" s="137">
        <v>3565.3387730999998</v>
      </c>
      <c r="L16" s="141">
        <v>2773.2692999999999</v>
      </c>
      <c r="M16" s="137">
        <v>97.937081829999997</v>
      </c>
      <c r="N16" s="137">
        <v>115.090676</v>
      </c>
      <c r="O16" s="141">
        <v>3921.4702000000002</v>
      </c>
      <c r="P16" s="137">
        <v>138.4854143</v>
      </c>
      <c r="Q16" s="137">
        <v>162.74101329999999</v>
      </c>
      <c r="R16" s="141">
        <v>5180.5883000000003</v>
      </c>
      <c r="S16" s="137">
        <v>182.95075069999999</v>
      </c>
      <c r="T16" s="136">
        <v>214.9944145</v>
      </c>
    </row>
    <row r="17" spans="2:20" x14ac:dyDescent="0.25">
      <c r="B17" s="139" t="s">
        <v>150</v>
      </c>
      <c r="C17" s="137">
        <v>11.2357</v>
      </c>
      <c r="D17" s="137">
        <v>70.670424620000006</v>
      </c>
      <c r="E17" s="137">
        <v>451.92591720000001</v>
      </c>
      <c r="F17" s="141">
        <v>15.783300000000001</v>
      </c>
      <c r="G17" s="137">
        <v>99.273967170000006</v>
      </c>
      <c r="H17" s="137">
        <v>634.84093810000002</v>
      </c>
      <c r="I17" s="141">
        <v>21.678599999999999</v>
      </c>
      <c r="J17" s="137">
        <v>136.35428741999999</v>
      </c>
      <c r="K17" s="137">
        <v>871.96357929999999</v>
      </c>
      <c r="L17" s="141">
        <v>58307.284500000002</v>
      </c>
      <c r="M17" s="137">
        <v>2059.1023353999999</v>
      </c>
      <c r="N17" s="137">
        <v>2268.1533666999999</v>
      </c>
      <c r="O17" s="141">
        <v>79017.144799999995</v>
      </c>
      <c r="P17" s="137">
        <v>2790.4641562000002</v>
      </c>
      <c r="Q17" s="137">
        <v>3073.7669329</v>
      </c>
      <c r="R17" s="141">
        <v>113389.1263</v>
      </c>
      <c r="S17" s="137">
        <v>4004.2992368999999</v>
      </c>
      <c r="T17" s="136">
        <v>4410.8370132</v>
      </c>
    </row>
    <row r="18" spans="2:20" x14ac:dyDescent="0.25">
      <c r="B18" s="139" t="s">
        <v>151</v>
      </c>
      <c r="C18" s="137">
        <v>77.386099999999999</v>
      </c>
      <c r="D18" s="137">
        <v>486.74390970799999</v>
      </c>
      <c r="E18" s="137">
        <v>2865.6586681529998</v>
      </c>
      <c r="F18" s="141">
        <v>78.391499999999994</v>
      </c>
      <c r="G18" s="137">
        <v>493.06768522599998</v>
      </c>
      <c r="H18" s="137">
        <v>2901.682416092</v>
      </c>
      <c r="I18" s="141">
        <v>79.565600000000003</v>
      </c>
      <c r="J18" s="137">
        <v>500.45255181099998</v>
      </c>
      <c r="K18" s="137">
        <v>2943.7507297799998</v>
      </c>
      <c r="L18" s="141">
        <v>181695</v>
      </c>
      <c r="M18" s="137">
        <v>6416.4984203699996</v>
      </c>
      <c r="N18" s="137">
        <v>7167.2730000000001</v>
      </c>
      <c r="O18" s="141">
        <v>185981</v>
      </c>
      <c r="P18" s="137">
        <v>6567.8570831300003</v>
      </c>
      <c r="Q18" s="137">
        <v>7334.2533999999996</v>
      </c>
      <c r="R18" s="141">
        <v>191741</v>
      </c>
      <c r="S18" s="137">
        <v>6771.2695655999996</v>
      </c>
      <c r="T18" s="136">
        <v>7549.1373999999996</v>
      </c>
    </row>
    <row r="19" spans="2:20" x14ac:dyDescent="0.25">
      <c r="B19" s="139" t="s">
        <v>152</v>
      </c>
      <c r="C19" s="137">
        <v>19.814</v>
      </c>
      <c r="D19" s="137">
        <v>124.62630664300001</v>
      </c>
      <c r="E19" s="137">
        <v>753.97495649099994</v>
      </c>
      <c r="F19" s="141">
        <v>21.058399999999999</v>
      </c>
      <c r="G19" s="137">
        <v>132.45334690199999</v>
      </c>
      <c r="H19" s="137">
        <v>801.32765843799996</v>
      </c>
      <c r="I19" s="141">
        <v>22.277000000000001</v>
      </c>
      <c r="J19" s="137">
        <v>140.11811008800001</v>
      </c>
      <c r="K19" s="137">
        <v>847.69860230200004</v>
      </c>
      <c r="L19" s="141">
        <v>6840.1058999999996</v>
      </c>
      <c r="M19" s="137">
        <v>241.556062129</v>
      </c>
      <c r="N19" s="137">
        <v>289.33647958</v>
      </c>
      <c r="O19" s="141">
        <v>7112.7914000000001</v>
      </c>
      <c r="P19" s="137">
        <v>251.18585971499999</v>
      </c>
      <c r="Q19" s="137">
        <v>300.87107624999999</v>
      </c>
      <c r="R19" s="141">
        <v>7683.1171000000004</v>
      </c>
      <c r="S19" s="137">
        <v>271.32672187399999</v>
      </c>
      <c r="T19" s="136">
        <v>324.99585336000001</v>
      </c>
    </row>
    <row r="20" spans="2:20" x14ac:dyDescent="0.25">
      <c r="B20" s="139" t="s">
        <v>153</v>
      </c>
      <c r="C20" s="137">
        <v>19.149999999999999</v>
      </c>
      <c r="D20" s="137">
        <v>120.4498724</v>
      </c>
      <c r="E20" s="137">
        <v>670.65654529999995</v>
      </c>
      <c r="F20" s="141">
        <v>22.15</v>
      </c>
      <c r="G20" s="137">
        <v>139.31930410000001</v>
      </c>
      <c r="H20" s="137">
        <v>775.72023390000004</v>
      </c>
      <c r="I20" s="141">
        <v>24.52</v>
      </c>
      <c r="J20" s="137">
        <v>154.22615519999999</v>
      </c>
      <c r="K20" s="137">
        <v>858.72054790000004</v>
      </c>
      <c r="L20" s="141">
        <v>43077</v>
      </c>
      <c r="M20" s="137">
        <v>1521.24991</v>
      </c>
      <c r="N20" s="137">
        <v>1783.3878</v>
      </c>
      <c r="O20" s="141">
        <v>49814</v>
      </c>
      <c r="P20" s="137">
        <v>1759.164822</v>
      </c>
      <c r="Q20" s="137">
        <v>2062.2995999999998</v>
      </c>
      <c r="R20" s="141">
        <v>55154</v>
      </c>
      <c r="S20" s="137">
        <v>1947.745144</v>
      </c>
      <c r="T20" s="136">
        <v>2283.3755999999998</v>
      </c>
    </row>
    <row r="21" spans="2:20" x14ac:dyDescent="0.25">
      <c r="B21" s="139" t="s">
        <v>177</v>
      </c>
      <c r="C21" s="137">
        <v>0.42</v>
      </c>
      <c r="D21" s="137">
        <v>2.6417204390000002</v>
      </c>
      <c r="E21" s="137">
        <v>15.43314417</v>
      </c>
      <c r="F21" s="141">
        <v>0.82</v>
      </c>
      <c r="G21" s="137">
        <v>5.1576446669999996</v>
      </c>
      <c r="H21" s="137">
        <v>30.131376719999999</v>
      </c>
      <c r="I21" s="141">
        <v>1.59</v>
      </c>
      <c r="J21" s="137">
        <v>10.000798809999999</v>
      </c>
      <c r="K21" s="137">
        <v>58.425474370000003</v>
      </c>
      <c r="L21" s="141">
        <v>0</v>
      </c>
      <c r="M21" s="137">
        <v>0</v>
      </c>
      <c r="N21" s="137">
        <v>0</v>
      </c>
      <c r="O21" s="141">
        <v>0</v>
      </c>
      <c r="P21" s="137">
        <v>0</v>
      </c>
      <c r="Q21" s="137">
        <v>0</v>
      </c>
      <c r="R21" s="141">
        <v>0</v>
      </c>
      <c r="S21" s="137">
        <v>0</v>
      </c>
      <c r="T21" s="136">
        <v>0</v>
      </c>
    </row>
    <row r="22" spans="2:20" x14ac:dyDescent="0.25">
      <c r="B22" s="139" t="s">
        <v>154</v>
      </c>
      <c r="C22" s="137">
        <v>0.1585</v>
      </c>
      <c r="D22" s="137">
        <v>0.99693497499999995</v>
      </c>
      <c r="E22" s="137">
        <v>4.8859959770000003</v>
      </c>
      <c r="F22" s="141">
        <v>0.2172</v>
      </c>
      <c r="G22" s="137">
        <v>1.3661468560000001</v>
      </c>
      <c r="H22" s="137">
        <v>6.6955099450000004</v>
      </c>
      <c r="I22" s="141">
        <v>0.2979</v>
      </c>
      <c r="J22" s="137">
        <v>1.873734569</v>
      </c>
      <c r="K22" s="137">
        <v>9.18320632</v>
      </c>
      <c r="L22" s="141">
        <v>510</v>
      </c>
      <c r="M22" s="137">
        <v>18.010480170000001</v>
      </c>
      <c r="N22" s="137">
        <v>18.36</v>
      </c>
      <c r="O22" s="141">
        <v>700</v>
      </c>
      <c r="P22" s="137">
        <v>24.720266899999999</v>
      </c>
      <c r="Q22" s="137">
        <v>25.2</v>
      </c>
      <c r="R22" s="141">
        <v>960</v>
      </c>
      <c r="S22" s="137">
        <v>33.902080320000003</v>
      </c>
      <c r="T22" s="136">
        <v>34.56</v>
      </c>
    </row>
    <row r="23" spans="2:20" x14ac:dyDescent="0.25">
      <c r="B23" s="139" t="s">
        <v>155</v>
      </c>
      <c r="C23" s="137">
        <v>92.527900000000002</v>
      </c>
      <c r="D23" s="137">
        <v>581.98296347999997</v>
      </c>
      <c r="E23" s="137">
        <v>3346.5470180000002</v>
      </c>
      <c r="F23" s="141">
        <v>124.42270000000001</v>
      </c>
      <c r="G23" s="137">
        <v>782.59521365000001</v>
      </c>
      <c r="H23" s="137">
        <v>4505.9814716000001</v>
      </c>
      <c r="I23" s="141">
        <v>169.56720000000001</v>
      </c>
      <c r="J23" s="137">
        <v>1066.5455668</v>
      </c>
      <c r="K23" s="137">
        <v>6148.9112047999997</v>
      </c>
      <c r="L23" s="141">
        <v>13224.2498</v>
      </c>
      <c r="M23" s="137">
        <v>467.00997798999998</v>
      </c>
      <c r="N23" s="137">
        <v>544.83909173999996</v>
      </c>
      <c r="O23" s="141">
        <v>19248.9696</v>
      </c>
      <c r="P23" s="137">
        <v>679.77095159999999</v>
      </c>
      <c r="Q23" s="137">
        <v>793.05754750000006</v>
      </c>
      <c r="R23" s="141">
        <v>28236.866000000002</v>
      </c>
      <c r="S23" s="137">
        <v>997.17551990000004</v>
      </c>
      <c r="T23" s="136">
        <v>1163.3588792</v>
      </c>
    </row>
    <row r="24" spans="2:20" x14ac:dyDescent="0.25">
      <c r="B24" s="139" t="s">
        <v>156</v>
      </c>
      <c r="C24" s="137">
        <v>0.318</v>
      </c>
      <c r="D24" s="137">
        <v>2.0001597609999999</v>
      </c>
      <c r="E24" s="137">
        <v>12.132247400000001</v>
      </c>
      <c r="F24" s="141">
        <v>0.4627</v>
      </c>
      <c r="G24" s="137">
        <v>2.9102953509999998</v>
      </c>
      <c r="H24" s="137">
        <v>17.652801480000001</v>
      </c>
      <c r="I24" s="141">
        <v>0.64870000000000005</v>
      </c>
      <c r="J24" s="137">
        <v>4.0802001170000004</v>
      </c>
      <c r="K24" s="137">
        <v>24.74902166</v>
      </c>
      <c r="L24" s="141">
        <v>191.17740000000001</v>
      </c>
      <c r="M24" s="137">
        <v>6.7513662190000003</v>
      </c>
      <c r="N24" s="137">
        <v>7.3603299</v>
      </c>
      <c r="O24" s="141">
        <v>199.2474</v>
      </c>
      <c r="P24" s="137">
        <v>7.0363555819999997</v>
      </c>
      <c r="Q24" s="137">
        <v>7.6710248999999999</v>
      </c>
      <c r="R24" s="141">
        <v>210.39420000000001</v>
      </c>
      <c r="S24" s="137">
        <v>7.4300011120000002</v>
      </c>
      <c r="T24" s="136">
        <v>8.1001767000000005</v>
      </c>
    </row>
    <row r="25" spans="2:20" x14ac:dyDescent="0.25">
      <c r="B25" s="139" t="s">
        <v>157</v>
      </c>
      <c r="C25" s="137">
        <v>0.25979999999999998</v>
      </c>
      <c r="D25" s="137">
        <v>1.6340927860000001</v>
      </c>
      <c r="E25" s="137">
        <v>8.9779978170000003</v>
      </c>
      <c r="F25" s="141">
        <v>0.25979999999999998</v>
      </c>
      <c r="G25" s="137">
        <v>1.6340927860000001</v>
      </c>
      <c r="H25" s="137">
        <v>8.9779978170000003</v>
      </c>
      <c r="I25" s="141">
        <v>0.25979999999999998</v>
      </c>
      <c r="J25" s="137">
        <v>1.6340927860000001</v>
      </c>
      <c r="K25" s="137">
        <v>8.9779978170000003</v>
      </c>
      <c r="L25" s="141">
        <v>14.7</v>
      </c>
      <c r="M25" s="137">
        <v>0.51912560500000005</v>
      </c>
      <c r="N25" s="137">
        <v>0.56742000000000004</v>
      </c>
      <c r="O25" s="141">
        <v>14.7</v>
      </c>
      <c r="P25" s="137">
        <v>0.51912560500000005</v>
      </c>
      <c r="Q25" s="137">
        <v>0.56742000000000004</v>
      </c>
      <c r="R25" s="141">
        <v>14.7</v>
      </c>
      <c r="S25" s="137">
        <v>0.51912560500000005</v>
      </c>
      <c r="T25" s="136">
        <v>0.56742000000000004</v>
      </c>
    </row>
    <row r="26" spans="2:20" x14ac:dyDescent="0.25">
      <c r="B26" s="139" t="s">
        <v>158</v>
      </c>
      <c r="C26" s="137">
        <v>0.56599999999999995</v>
      </c>
      <c r="D26" s="137">
        <v>3.560032783</v>
      </c>
      <c r="E26" s="137">
        <v>20.3265855</v>
      </c>
      <c r="F26" s="141">
        <v>0.60399999999999998</v>
      </c>
      <c r="G26" s="137">
        <v>3.7990455839999999</v>
      </c>
      <c r="H26" s="137">
        <v>21.691267920000001</v>
      </c>
      <c r="I26" s="141">
        <v>0.60399999999999998</v>
      </c>
      <c r="J26" s="137">
        <v>3.7990455839999999</v>
      </c>
      <c r="K26" s="137">
        <v>21.691267920000001</v>
      </c>
      <c r="L26" s="141">
        <v>2152</v>
      </c>
      <c r="M26" s="137">
        <v>75.997163380000003</v>
      </c>
      <c r="N26" s="137">
        <v>95.333600000000004</v>
      </c>
      <c r="O26" s="141">
        <v>2294</v>
      </c>
      <c r="P26" s="137">
        <v>81.0118461</v>
      </c>
      <c r="Q26" s="137">
        <v>101.6242</v>
      </c>
      <c r="R26" s="141">
        <v>2294</v>
      </c>
      <c r="S26" s="137">
        <v>81.0118461</v>
      </c>
      <c r="T26" s="136">
        <v>101.6242</v>
      </c>
    </row>
    <row r="27" spans="2:20" x14ac:dyDescent="0.25">
      <c r="B27" s="139" t="s">
        <v>159</v>
      </c>
      <c r="C27" s="137">
        <v>5.0122999999999998</v>
      </c>
      <c r="D27" s="137">
        <v>31.526417522999999</v>
      </c>
      <c r="E27" s="137">
        <v>150.70664459</v>
      </c>
      <c r="F27" s="141">
        <v>6.8563000000000001</v>
      </c>
      <c r="G27" s="137">
        <v>43.124828211000001</v>
      </c>
      <c r="H27" s="137">
        <v>206.15086231000001</v>
      </c>
      <c r="I27" s="141">
        <v>8.8743999999999996</v>
      </c>
      <c r="J27" s="137">
        <v>55.818294921000003</v>
      </c>
      <c r="K27" s="137">
        <v>266.82980792000001</v>
      </c>
      <c r="L27" s="141">
        <v>19465.180199999999</v>
      </c>
      <c r="M27" s="137">
        <v>687.40635685999996</v>
      </c>
      <c r="N27" s="137">
        <v>786.39328009999997</v>
      </c>
      <c r="O27" s="141">
        <v>26198.290400000002</v>
      </c>
      <c r="P27" s="137">
        <v>925.18390139999997</v>
      </c>
      <c r="Q27" s="137">
        <v>1058.4109321000001</v>
      </c>
      <c r="R27" s="141">
        <v>33380.801299999999</v>
      </c>
      <c r="S27" s="137">
        <v>1178.8318818</v>
      </c>
      <c r="T27" s="136">
        <v>1348.5843728</v>
      </c>
    </row>
    <row r="28" spans="2:20" x14ac:dyDescent="0.25">
      <c r="B28" s="139" t="s">
        <v>160</v>
      </c>
      <c r="C28" s="137">
        <v>4.9470000000000001</v>
      </c>
      <c r="D28" s="137">
        <v>31.115692889999998</v>
      </c>
      <c r="E28" s="137">
        <v>185.029675</v>
      </c>
      <c r="F28" s="141">
        <v>5.04</v>
      </c>
      <c r="G28" s="137">
        <v>31.700645269999999</v>
      </c>
      <c r="H28" s="137">
        <v>188.50809820000001</v>
      </c>
      <c r="I28" s="141">
        <v>5.0940000000000003</v>
      </c>
      <c r="J28" s="137">
        <v>32.040295039999997</v>
      </c>
      <c r="K28" s="137">
        <v>190.52782790000001</v>
      </c>
      <c r="L28" s="141">
        <v>1066.1289999999999</v>
      </c>
      <c r="M28" s="137">
        <v>37.649990610000003</v>
      </c>
      <c r="N28" s="137">
        <v>39.233547199999997</v>
      </c>
      <c r="O28" s="141">
        <v>1085.385</v>
      </c>
      <c r="P28" s="137">
        <v>38.330009840000002</v>
      </c>
      <c r="Q28" s="137">
        <v>39.942168000000002</v>
      </c>
      <c r="R28" s="141">
        <v>1099.26</v>
      </c>
      <c r="S28" s="137">
        <v>38.82000085</v>
      </c>
      <c r="T28" s="136">
        <v>40.452767999999999</v>
      </c>
    </row>
    <row r="29" spans="2:20" x14ac:dyDescent="0.25">
      <c r="B29" s="144" t="s">
        <v>169</v>
      </c>
      <c r="C29" s="142">
        <v>465.4153</v>
      </c>
      <c r="D29" s="142">
        <v>2927.374073338</v>
      </c>
      <c r="E29" s="142">
        <v>16939.155277062</v>
      </c>
      <c r="F29" s="145">
        <v>564.35929999999996</v>
      </c>
      <c r="G29" s="142">
        <v>3549.713090491</v>
      </c>
      <c r="H29" s="142">
        <v>20549.955414701999</v>
      </c>
      <c r="I29" s="145">
        <v>696.84199999999998</v>
      </c>
      <c r="J29" s="142">
        <v>4383.0041768370002</v>
      </c>
      <c r="K29" s="142">
        <v>25392.596911248998</v>
      </c>
      <c r="L29" s="145">
        <v>453535.86459999997</v>
      </c>
      <c r="M29" s="142">
        <v>16016.468029684</v>
      </c>
      <c r="N29" s="142">
        <v>16988.021719069999</v>
      </c>
      <c r="O29" s="145">
        <v>545845.24250000005</v>
      </c>
      <c r="P29" s="142">
        <v>19276.348890932</v>
      </c>
      <c r="Q29" s="142">
        <v>20124.098775750001</v>
      </c>
      <c r="R29" s="145">
        <v>649490.68290000001</v>
      </c>
      <c r="S29" s="142">
        <v>22936.561746691001</v>
      </c>
      <c r="T29" s="143">
        <v>23824.046163380001</v>
      </c>
    </row>
  </sheetData>
  <mergeCells count="10">
    <mergeCell ref="B2:T2"/>
    <mergeCell ref="B4:B6"/>
    <mergeCell ref="C4:K4"/>
    <mergeCell ref="L4:T4"/>
    <mergeCell ref="C5:E5"/>
    <mergeCell ref="F5:H5"/>
    <mergeCell ref="I5:K5"/>
    <mergeCell ref="L5:N5"/>
    <mergeCell ref="O5:Q5"/>
    <mergeCell ref="R5:T5"/>
  </mergeCells>
  <pageMargins left="0.05" right="0.05" top="0.5" bottom="0.5" header="0" footer="0"/>
  <pageSetup paperSize="8"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603F99"/>
    <pageSetUpPr fitToPage="1"/>
  </sheetPr>
  <dimension ref="B2:AM23"/>
  <sheetViews>
    <sheetView showGridLines="0" zoomScale="85" zoomScaleNormal="85" zoomScalePageLayoutView="85" workbookViewId="0">
      <pane xSplit="2" topLeftCell="C1" activePane="topRight" state="frozen"/>
      <selection pane="topRight"/>
    </sheetView>
  </sheetViews>
  <sheetFormatPr defaultColWidth="11.42578125" defaultRowHeight="15" x14ac:dyDescent="0.25"/>
  <cols>
    <col min="2" max="2" width="47" customWidth="1"/>
    <col min="3" max="38" width="10.5703125" customWidth="1"/>
  </cols>
  <sheetData>
    <row r="2" spans="2:39" ht="42.75" customHeight="1" x14ac:dyDescent="0.35">
      <c r="B2" s="274" t="s">
        <v>117</v>
      </c>
      <c r="C2" s="242"/>
      <c r="D2" s="242"/>
      <c r="E2" s="242"/>
      <c r="F2" s="242"/>
      <c r="G2" s="242"/>
      <c r="H2" s="242"/>
      <c r="I2" s="242"/>
      <c r="J2" s="242"/>
      <c r="K2" s="242"/>
      <c r="L2" s="242"/>
      <c r="M2" s="242"/>
    </row>
    <row r="4" spans="2:39" ht="17.100000000000001" customHeight="1" x14ac:dyDescent="0.25">
      <c r="B4" s="155" t="s">
        <v>179</v>
      </c>
      <c r="C4" s="153" t="s">
        <v>180</v>
      </c>
      <c r="D4" s="153" t="s">
        <v>181</v>
      </c>
      <c r="E4" s="153" t="s">
        <v>182</v>
      </c>
      <c r="F4" s="153" t="s">
        <v>183</v>
      </c>
      <c r="G4" s="153" t="s">
        <v>184</v>
      </c>
      <c r="H4" s="153" t="s">
        <v>185</v>
      </c>
      <c r="I4" s="153" t="s">
        <v>186</v>
      </c>
      <c r="J4" s="153" t="s">
        <v>187</v>
      </c>
      <c r="K4" s="153" t="s">
        <v>188</v>
      </c>
      <c r="L4" s="153" t="s">
        <v>189</v>
      </c>
      <c r="M4" s="153" t="s">
        <v>190</v>
      </c>
      <c r="N4" s="153" t="s">
        <v>191</v>
      </c>
      <c r="O4" s="153" t="s">
        <v>192</v>
      </c>
      <c r="P4" s="153" t="s">
        <v>193</v>
      </c>
      <c r="Q4" s="153" t="s">
        <v>194</v>
      </c>
      <c r="R4" s="153" t="s">
        <v>195</v>
      </c>
      <c r="S4" s="153" t="s">
        <v>196</v>
      </c>
      <c r="T4" s="153" t="s">
        <v>197</v>
      </c>
      <c r="U4" s="153" t="s">
        <v>198</v>
      </c>
      <c r="V4" s="153" t="s">
        <v>199</v>
      </c>
      <c r="W4" s="153" t="s">
        <v>200</v>
      </c>
      <c r="X4" s="153" t="s">
        <v>201</v>
      </c>
      <c r="Y4" s="153" t="s">
        <v>202</v>
      </c>
      <c r="Z4" s="153" t="s">
        <v>203</v>
      </c>
      <c r="AA4" s="153" t="s">
        <v>204</v>
      </c>
      <c r="AB4" s="153" t="s">
        <v>205</v>
      </c>
      <c r="AC4" s="153" t="s">
        <v>206</v>
      </c>
      <c r="AD4" s="153" t="s">
        <v>207</v>
      </c>
      <c r="AE4" s="153" t="s">
        <v>208</v>
      </c>
      <c r="AF4" s="153" t="s">
        <v>209</v>
      </c>
      <c r="AG4" s="153" t="s">
        <v>210</v>
      </c>
      <c r="AH4" s="153" t="s">
        <v>211</v>
      </c>
      <c r="AI4" s="153" t="s">
        <v>212</v>
      </c>
      <c r="AJ4" s="153" t="s">
        <v>213</v>
      </c>
      <c r="AK4" s="154" t="s">
        <v>214</v>
      </c>
      <c r="AL4" s="146"/>
      <c r="AM4" s="146"/>
    </row>
    <row r="5" spans="2:39" x14ac:dyDescent="0.25">
      <c r="B5" s="149" t="s">
        <v>140</v>
      </c>
      <c r="C5" s="148">
        <v>5.6366698999999999E-2</v>
      </c>
      <c r="D5" s="148">
        <v>5.2653846999999997E-2</v>
      </c>
      <c r="E5" s="148">
        <v>4.3723586000000002E-2</v>
      </c>
      <c r="F5" s="148">
        <v>3.6310117000000003E-2</v>
      </c>
      <c r="G5" s="148">
        <v>3.0407494E-2</v>
      </c>
      <c r="H5" s="148">
        <v>2.5596052000000001E-2</v>
      </c>
      <c r="I5" s="148">
        <v>2.1709374E-2</v>
      </c>
      <c r="J5" s="148">
        <v>7.9702420000000006E-3</v>
      </c>
      <c r="K5" s="148">
        <v>0</v>
      </c>
      <c r="L5" s="148">
        <v>0</v>
      </c>
      <c r="M5" s="148">
        <v>0</v>
      </c>
      <c r="N5" s="148">
        <v>0</v>
      </c>
      <c r="O5" s="148">
        <v>0</v>
      </c>
      <c r="P5" s="148">
        <v>0</v>
      </c>
      <c r="Q5" s="148">
        <v>0</v>
      </c>
      <c r="R5" s="148">
        <v>0</v>
      </c>
      <c r="S5" s="148">
        <v>0</v>
      </c>
      <c r="T5" s="148">
        <v>0</v>
      </c>
      <c r="U5" s="148">
        <v>0</v>
      </c>
      <c r="V5" s="148">
        <v>0</v>
      </c>
      <c r="W5" s="148">
        <v>0</v>
      </c>
      <c r="X5" s="148">
        <v>0</v>
      </c>
      <c r="Y5" s="148">
        <v>0</v>
      </c>
      <c r="Z5" s="148">
        <v>0</v>
      </c>
      <c r="AA5" s="148">
        <v>0</v>
      </c>
      <c r="AB5" s="148">
        <v>0</v>
      </c>
      <c r="AC5" s="148">
        <v>0</v>
      </c>
      <c r="AD5" s="148">
        <v>0</v>
      </c>
      <c r="AE5" s="148">
        <v>0</v>
      </c>
      <c r="AF5" s="148">
        <v>0</v>
      </c>
      <c r="AG5" s="148">
        <v>0</v>
      </c>
      <c r="AH5" s="148">
        <v>0</v>
      </c>
      <c r="AI5" s="148">
        <v>0</v>
      </c>
      <c r="AJ5" s="148">
        <v>0</v>
      </c>
      <c r="AK5" s="147">
        <v>0</v>
      </c>
    </row>
    <row r="6" spans="2:39" x14ac:dyDescent="0.25">
      <c r="B6" s="149" t="s">
        <v>138</v>
      </c>
      <c r="C6" s="148">
        <v>0.25838711199999997</v>
      </c>
      <c r="D6" s="148">
        <v>0.25368201099999999</v>
      </c>
      <c r="E6" s="148">
        <v>0.25931246499999999</v>
      </c>
      <c r="F6" s="148">
        <v>0.28870037999999998</v>
      </c>
      <c r="G6" s="148">
        <v>0.25248456800000002</v>
      </c>
      <c r="H6" s="148">
        <v>0.19164617</v>
      </c>
      <c r="I6" s="148">
        <v>0.154343919</v>
      </c>
      <c r="J6" s="148">
        <v>5.5010410000000003E-2</v>
      </c>
      <c r="K6" s="148">
        <v>0</v>
      </c>
      <c r="L6" s="148">
        <v>0</v>
      </c>
      <c r="M6" s="148">
        <v>0</v>
      </c>
      <c r="N6" s="148">
        <v>0</v>
      </c>
      <c r="O6" s="148">
        <v>0</v>
      </c>
      <c r="P6" s="148">
        <v>0</v>
      </c>
      <c r="Q6" s="148">
        <v>0</v>
      </c>
      <c r="R6" s="148">
        <v>0</v>
      </c>
      <c r="S6" s="148">
        <v>0</v>
      </c>
      <c r="T6" s="148">
        <v>0</v>
      </c>
      <c r="U6" s="148">
        <v>0</v>
      </c>
      <c r="V6" s="148">
        <v>0</v>
      </c>
      <c r="W6" s="148">
        <v>0</v>
      </c>
      <c r="X6" s="148">
        <v>0</v>
      </c>
      <c r="Y6" s="148">
        <v>0</v>
      </c>
      <c r="Z6" s="148">
        <v>0</v>
      </c>
      <c r="AA6" s="148">
        <v>0</v>
      </c>
      <c r="AB6" s="148">
        <v>0</v>
      </c>
      <c r="AC6" s="148">
        <v>0</v>
      </c>
      <c r="AD6" s="148">
        <v>0</v>
      </c>
      <c r="AE6" s="148">
        <v>0</v>
      </c>
      <c r="AF6" s="148">
        <v>0</v>
      </c>
      <c r="AG6" s="148">
        <v>0</v>
      </c>
      <c r="AH6" s="148">
        <v>0</v>
      </c>
      <c r="AI6" s="148">
        <v>0</v>
      </c>
      <c r="AJ6" s="148">
        <v>0</v>
      </c>
      <c r="AK6" s="147">
        <v>0</v>
      </c>
    </row>
    <row r="7" spans="2:39" x14ac:dyDescent="0.25">
      <c r="B7" s="149" t="s">
        <v>141</v>
      </c>
      <c r="C7" s="148">
        <v>1.9827707999999999E-2</v>
      </c>
      <c r="D7" s="148">
        <v>1.7271890000000002E-2</v>
      </c>
      <c r="E7" s="148">
        <v>1.5045520999999999E-2</v>
      </c>
      <c r="F7" s="148">
        <v>1.3106134E-2</v>
      </c>
      <c r="G7" s="148">
        <v>1.1416736E-2</v>
      </c>
      <c r="H7" s="148">
        <v>9.9451039999999997E-3</v>
      </c>
      <c r="I7" s="148">
        <v>8.6631669999999994E-3</v>
      </c>
      <c r="J7" s="148">
        <v>7.5464729999999997E-3</v>
      </c>
      <c r="K7" s="148">
        <v>6.5737230000000001E-3</v>
      </c>
      <c r="L7" s="148">
        <v>5.7263619999999996E-3</v>
      </c>
      <c r="M7" s="148">
        <v>0</v>
      </c>
      <c r="N7" s="148">
        <v>0</v>
      </c>
      <c r="O7" s="148">
        <v>0</v>
      </c>
      <c r="P7" s="148">
        <v>0</v>
      </c>
      <c r="Q7" s="148">
        <v>0</v>
      </c>
      <c r="R7" s="148">
        <v>0</v>
      </c>
      <c r="S7" s="148">
        <v>0</v>
      </c>
      <c r="T7" s="148">
        <v>0</v>
      </c>
      <c r="U7" s="148">
        <v>0</v>
      </c>
      <c r="V7" s="148">
        <v>0</v>
      </c>
      <c r="W7" s="148">
        <v>0</v>
      </c>
      <c r="X7" s="148">
        <v>0</v>
      </c>
      <c r="Y7" s="148">
        <v>0</v>
      </c>
      <c r="Z7" s="148">
        <v>0</v>
      </c>
      <c r="AA7" s="148">
        <v>0</v>
      </c>
      <c r="AB7" s="148">
        <v>0</v>
      </c>
      <c r="AC7" s="148">
        <v>0</v>
      </c>
      <c r="AD7" s="148">
        <v>0</v>
      </c>
      <c r="AE7" s="148">
        <v>0</v>
      </c>
      <c r="AF7" s="148">
        <v>0</v>
      </c>
      <c r="AG7" s="148">
        <v>0</v>
      </c>
      <c r="AH7" s="148">
        <v>0</v>
      </c>
      <c r="AI7" s="148">
        <v>0</v>
      </c>
      <c r="AJ7" s="148">
        <v>0</v>
      </c>
      <c r="AK7" s="147">
        <v>0</v>
      </c>
    </row>
    <row r="8" spans="2:39" x14ac:dyDescent="0.25">
      <c r="B8" s="149" t="s">
        <v>142</v>
      </c>
      <c r="C8" s="148">
        <v>0.108807403</v>
      </c>
      <c r="D8" s="148">
        <v>0.10118804300000001</v>
      </c>
      <c r="E8" s="148">
        <v>0.13233218299999999</v>
      </c>
      <c r="F8" s="148">
        <v>0.115568609</v>
      </c>
      <c r="G8" s="148">
        <v>0.11658639899999999</v>
      </c>
      <c r="H8" s="148">
        <v>0.114464039</v>
      </c>
      <c r="I8" s="148">
        <v>0.102505499</v>
      </c>
      <c r="J8" s="148">
        <v>8.9566170000000001E-2</v>
      </c>
      <c r="K8" s="148">
        <v>7.9439478999999993E-2</v>
      </c>
      <c r="L8" s="148">
        <v>8.9237609999999995E-2</v>
      </c>
      <c r="M8" s="148">
        <v>8.2329186999999998E-2</v>
      </c>
      <c r="N8" s="148">
        <v>8.1542936999999996E-2</v>
      </c>
      <c r="O8" s="148">
        <v>9.2546888999999993E-2</v>
      </c>
      <c r="P8" s="148">
        <v>8.6997619999999998E-2</v>
      </c>
      <c r="Q8" s="148">
        <v>7.4723946999999999E-2</v>
      </c>
      <c r="R8" s="148">
        <v>6.5650006999999996E-2</v>
      </c>
      <c r="S8" s="148">
        <v>5.9023956000000002E-2</v>
      </c>
      <c r="T8" s="148">
        <v>5.2688921999999999E-2</v>
      </c>
      <c r="U8" s="148">
        <v>4.7441957E-2</v>
      </c>
      <c r="V8" s="148">
        <v>4.0994991000000001E-2</v>
      </c>
      <c r="W8" s="148">
        <v>3.6776094000000002E-2</v>
      </c>
      <c r="X8" s="148">
        <v>3.0157495999999999E-2</v>
      </c>
      <c r="Y8" s="148">
        <v>2.4300709999999998E-3</v>
      </c>
      <c r="Z8" s="148">
        <v>0</v>
      </c>
      <c r="AA8" s="148">
        <v>0</v>
      </c>
      <c r="AB8" s="148">
        <v>0</v>
      </c>
      <c r="AC8" s="148">
        <v>0</v>
      </c>
      <c r="AD8" s="148">
        <v>0</v>
      </c>
      <c r="AE8" s="148">
        <v>0</v>
      </c>
      <c r="AF8" s="148">
        <v>0</v>
      </c>
      <c r="AG8" s="148">
        <v>0</v>
      </c>
      <c r="AH8" s="148">
        <v>0</v>
      </c>
      <c r="AI8" s="148">
        <v>0</v>
      </c>
      <c r="AJ8" s="148">
        <v>0</v>
      </c>
      <c r="AK8" s="147">
        <v>0</v>
      </c>
    </row>
    <row r="9" spans="2:39" x14ac:dyDescent="0.25">
      <c r="B9" s="149" t="s">
        <v>144</v>
      </c>
      <c r="C9" s="148">
        <v>0.216380288</v>
      </c>
      <c r="D9" s="148">
        <v>0.183178279</v>
      </c>
      <c r="E9" s="148">
        <v>0.184768813</v>
      </c>
      <c r="F9" s="148">
        <v>0.17833035699999999</v>
      </c>
      <c r="G9" s="148">
        <v>0.141278715</v>
      </c>
      <c r="H9" s="148">
        <v>0.117507862</v>
      </c>
      <c r="I9" s="148">
        <v>9.8560347000000006E-2</v>
      </c>
      <c r="J9" s="148">
        <v>8.0219766999999997E-2</v>
      </c>
      <c r="K9" s="148">
        <v>7.0108932999999998E-2</v>
      </c>
      <c r="L9" s="148">
        <v>5.7292652999999999E-2</v>
      </c>
      <c r="M9" s="148">
        <v>4.4769045E-2</v>
      </c>
      <c r="N9" s="148">
        <v>0</v>
      </c>
      <c r="O9" s="148">
        <v>0</v>
      </c>
      <c r="P9" s="148">
        <v>0</v>
      </c>
      <c r="Q9" s="148">
        <v>0</v>
      </c>
      <c r="R9" s="148">
        <v>0</v>
      </c>
      <c r="S9" s="148">
        <v>0</v>
      </c>
      <c r="T9" s="148">
        <v>0</v>
      </c>
      <c r="U9" s="148">
        <v>0</v>
      </c>
      <c r="V9" s="148">
        <v>0</v>
      </c>
      <c r="W9" s="148">
        <v>0</v>
      </c>
      <c r="X9" s="148">
        <v>0</v>
      </c>
      <c r="Y9" s="148">
        <v>0</v>
      </c>
      <c r="Z9" s="148">
        <v>0</v>
      </c>
      <c r="AA9" s="148">
        <v>0</v>
      </c>
      <c r="AB9" s="148">
        <v>0</v>
      </c>
      <c r="AC9" s="148">
        <v>0</v>
      </c>
      <c r="AD9" s="148">
        <v>0</v>
      </c>
      <c r="AE9" s="148">
        <v>0</v>
      </c>
      <c r="AF9" s="148">
        <v>0</v>
      </c>
      <c r="AG9" s="148">
        <v>0</v>
      </c>
      <c r="AH9" s="148">
        <v>0</v>
      </c>
      <c r="AI9" s="148">
        <v>0</v>
      </c>
      <c r="AJ9" s="148">
        <v>0</v>
      </c>
      <c r="AK9" s="147">
        <v>0</v>
      </c>
    </row>
    <row r="10" spans="2:39" x14ac:dyDescent="0.25">
      <c r="B10" s="149" t="s">
        <v>146</v>
      </c>
      <c r="C10" s="148">
        <v>3.7815399999999999E-3</v>
      </c>
      <c r="D10" s="148">
        <v>3.7927400000000002E-3</v>
      </c>
      <c r="E10" s="148">
        <v>3.8157009999999999E-3</v>
      </c>
      <c r="F10" s="148">
        <v>3.8161060000000001E-3</v>
      </c>
      <c r="G10" s="148">
        <v>3.8241550000000001E-3</v>
      </c>
      <c r="H10" s="148">
        <v>3.8347310000000001E-3</v>
      </c>
      <c r="I10" s="148">
        <v>3.8588770000000001E-3</v>
      </c>
      <c r="J10" s="148">
        <v>3.8644930000000001E-3</v>
      </c>
      <c r="K10" s="148">
        <v>3.8822129999999998E-3</v>
      </c>
      <c r="L10" s="148">
        <v>3.90012E-3</v>
      </c>
      <c r="M10" s="148">
        <v>0</v>
      </c>
      <c r="N10" s="148">
        <v>0</v>
      </c>
      <c r="O10" s="148">
        <v>0</v>
      </c>
      <c r="P10" s="148">
        <v>0</v>
      </c>
      <c r="Q10" s="148">
        <v>0</v>
      </c>
      <c r="R10" s="148">
        <v>0</v>
      </c>
      <c r="S10" s="148">
        <v>0</v>
      </c>
      <c r="T10" s="148">
        <v>0</v>
      </c>
      <c r="U10" s="148">
        <v>0</v>
      </c>
      <c r="V10" s="148">
        <v>0</v>
      </c>
      <c r="W10" s="148">
        <v>0</v>
      </c>
      <c r="X10" s="148">
        <v>0</v>
      </c>
      <c r="Y10" s="148">
        <v>0</v>
      </c>
      <c r="Z10" s="148">
        <v>0</v>
      </c>
      <c r="AA10" s="148">
        <v>0</v>
      </c>
      <c r="AB10" s="148">
        <v>0</v>
      </c>
      <c r="AC10" s="148">
        <v>0</v>
      </c>
      <c r="AD10" s="148">
        <v>0</v>
      </c>
      <c r="AE10" s="148">
        <v>0</v>
      </c>
      <c r="AF10" s="148">
        <v>0</v>
      </c>
      <c r="AG10" s="148">
        <v>0</v>
      </c>
      <c r="AH10" s="148">
        <v>0</v>
      </c>
      <c r="AI10" s="148">
        <v>0</v>
      </c>
      <c r="AJ10" s="148">
        <v>0</v>
      </c>
      <c r="AK10" s="147">
        <v>0</v>
      </c>
    </row>
    <row r="11" spans="2:39" x14ac:dyDescent="0.25">
      <c r="B11" s="149" t="s">
        <v>147</v>
      </c>
      <c r="C11" s="148">
        <v>3.1241849999999998E-3</v>
      </c>
      <c r="D11" s="148">
        <v>8.9919010000000001E-3</v>
      </c>
      <c r="E11" s="148">
        <v>2.5505254000000002E-2</v>
      </c>
      <c r="F11" s="148">
        <v>2.2833231999999998E-2</v>
      </c>
      <c r="G11" s="148">
        <v>2.0575313000000001E-2</v>
      </c>
      <c r="H11" s="148">
        <v>1.8603841999999999E-2</v>
      </c>
      <c r="I11" s="148">
        <v>1.6918842E-2</v>
      </c>
      <c r="J11" s="148">
        <v>1.5348112000000001E-2</v>
      </c>
      <c r="K11" s="148">
        <v>1.4002262999999999E-2</v>
      </c>
      <c r="L11" s="148">
        <v>1.2808029E-2</v>
      </c>
      <c r="M11" s="148">
        <v>1.1775526999999999E-2</v>
      </c>
      <c r="N11" s="148">
        <v>1.0707001000000001E-2</v>
      </c>
      <c r="O11" s="148">
        <v>9.863241E-3</v>
      </c>
      <c r="P11" s="148">
        <v>9.106177E-3</v>
      </c>
      <c r="Q11" s="148">
        <v>8.3701480000000009E-3</v>
      </c>
      <c r="R11" s="148">
        <v>7.5997240000000004E-3</v>
      </c>
      <c r="S11" s="148">
        <v>7.051674E-3</v>
      </c>
      <c r="T11" s="148">
        <v>6.5544150000000001E-3</v>
      </c>
      <c r="U11" s="148">
        <v>6.1183849999999996E-3</v>
      </c>
      <c r="V11" s="148">
        <v>5.6891490000000001E-3</v>
      </c>
      <c r="W11" s="148">
        <v>5.3130460000000001E-3</v>
      </c>
      <c r="X11" s="148">
        <v>4.9689879999999997E-3</v>
      </c>
      <c r="Y11" s="148">
        <v>4.6660099999999999E-3</v>
      </c>
      <c r="Z11" s="148">
        <v>4.3634210000000001E-3</v>
      </c>
      <c r="AA11" s="148">
        <v>4.0972630000000003E-3</v>
      </c>
      <c r="AB11" s="148">
        <v>3.8521010000000001E-3</v>
      </c>
      <c r="AC11" s="148">
        <v>3.635568E-3</v>
      </c>
      <c r="AD11" s="148">
        <v>3.416414E-3</v>
      </c>
      <c r="AE11" s="148">
        <v>3.2231109999999999E-3</v>
      </c>
      <c r="AF11" s="148">
        <v>2.3880379999999999E-3</v>
      </c>
      <c r="AG11" s="148">
        <v>1.5704619999999999E-3</v>
      </c>
      <c r="AH11" s="148">
        <v>0</v>
      </c>
      <c r="AI11" s="148">
        <v>0</v>
      </c>
      <c r="AJ11" s="148">
        <v>0</v>
      </c>
      <c r="AK11" s="147">
        <v>0</v>
      </c>
    </row>
    <row r="12" spans="2:39" x14ac:dyDescent="0.25">
      <c r="B12" s="149" t="s">
        <v>148</v>
      </c>
      <c r="C12" s="148">
        <v>0.23100000000000001</v>
      </c>
      <c r="D12" s="148">
        <v>0.214</v>
      </c>
      <c r="E12" s="148">
        <v>0.16600000000000001</v>
      </c>
      <c r="F12" s="148">
        <v>0.16</v>
      </c>
      <c r="G12" s="148">
        <v>0.13800000000000001</v>
      </c>
      <c r="H12" s="148">
        <v>0.122</v>
      </c>
      <c r="I12" s="148">
        <v>9.9000000000000005E-2</v>
      </c>
      <c r="J12" s="148">
        <v>9.5000000000000001E-2</v>
      </c>
      <c r="K12" s="148">
        <v>8.3000000000000004E-2</v>
      </c>
      <c r="L12" s="148">
        <v>7.3999999999999996E-2</v>
      </c>
      <c r="M12" s="148">
        <v>1.0999999999999999E-2</v>
      </c>
      <c r="N12" s="148">
        <v>0</v>
      </c>
      <c r="O12" s="148">
        <v>0</v>
      </c>
      <c r="P12" s="148">
        <v>0</v>
      </c>
      <c r="Q12" s="148">
        <v>0</v>
      </c>
      <c r="R12" s="148">
        <v>0</v>
      </c>
      <c r="S12" s="148">
        <v>0</v>
      </c>
      <c r="T12" s="148">
        <v>0</v>
      </c>
      <c r="U12" s="148">
        <v>0</v>
      </c>
      <c r="V12" s="148">
        <v>0</v>
      </c>
      <c r="W12" s="148">
        <v>0</v>
      </c>
      <c r="X12" s="148">
        <v>0</v>
      </c>
      <c r="Y12" s="148">
        <v>0</v>
      </c>
      <c r="Z12" s="148">
        <v>0</v>
      </c>
      <c r="AA12" s="148">
        <v>0</v>
      </c>
      <c r="AB12" s="148">
        <v>0</v>
      </c>
      <c r="AC12" s="148">
        <v>0</v>
      </c>
      <c r="AD12" s="148">
        <v>0</v>
      </c>
      <c r="AE12" s="148">
        <v>0</v>
      </c>
      <c r="AF12" s="148">
        <v>0</v>
      </c>
      <c r="AG12" s="148">
        <v>0</v>
      </c>
      <c r="AH12" s="148">
        <v>0</v>
      </c>
      <c r="AI12" s="148">
        <v>0</v>
      </c>
      <c r="AJ12" s="148">
        <v>0</v>
      </c>
      <c r="AK12" s="147">
        <v>0</v>
      </c>
    </row>
    <row r="13" spans="2:39" x14ac:dyDescent="0.25">
      <c r="B13" s="149" t="s">
        <v>149</v>
      </c>
      <c r="C13" s="148">
        <v>1.7</v>
      </c>
      <c r="D13" s="148">
        <v>1.5</v>
      </c>
      <c r="E13" s="148">
        <v>1.3</v>
      </c>
      <c r="F13" s="148">
        <v>1.2</v>
      </c>
      <c r="G13" s="148">
        <v>1.1000000000000001</v>
      </c>
      <c r="H13" s="148">
        <v>1</v>
      </c>
      <c r="I13" s="148">
        <v>0</v>
      </c>
      <c r="J13" s="148">
        <v>0</v>
      </c>
      <c r="K13" s="148">
        <v>0</v>
      </c>
      <c r="L13" s="148">
        <v>0</v>
      </c>
      <c r="M13" s="148">
        <v>0</v>
      </c>
      <c r="N13" s="148">
        <v>0</v>
      </c>
      <c r="O13" s="148">
        <v>0</v>
      </c>
      <c r="P13" s="148">
        <v>0</v>
      </c>
      <c r="Q13" s="148">
        <v>0</v>
      </c>
      <c r="R13" s="148">
        <v>0</v>
      </c>
      <c r="S13" s="148">
        <v>0</v>
      </c>
      <c r="T13" s="148">
        <v>0</v>
      </c>
      <c r="U13" s="148">
        <v>0</v>
      </c>
      <c r="V13" s="148">
        <v>0</v>
      </c>
      <c r="W13" s="148">
        <v>0</v>
      </c>
      <c r="X13" s="148">
        <v>0</v>
      </c>
      <c r="Y13" s="148">
        <v>0</v>
      </c>
      <c r="Z13" s="148">
        <v>0</v>
      </c>
      <c r="AA13" s="148">
        <v>0</v>
      </c>
      <c r="AB13" s="148">
        <v>0</v>
      </c>
      <c r="AC13" s="148">
        <v>0</v>
      </c>
      <c r="AD13" s="148">
        <v>0</v>
      </c>
      <c r="AE13" s="148">
        <v>0</v>
      </c>
      <c r="AF13" s="148">
        <v>0</v>
      </c>
      <c r="AG13" s="148">
        <v>0</v>
      </c>
      <c r="AH13" s="148">
        <v>0</v>
      </c>
      <c r="AI13" s="148">
        <v>0</v>
      </c>
      <c r="AJ13" s="148">
        <v>0</v>
      </c>
      <c r="AK13" s="147">
        <v>0</v>
      </c>
    </row>
    <row r="14" spans="2:39" x14ac:dyDescent="0.25">
      <c r="B14" s="149" t="s">
        <v>150</v>
      </c>
      <c r="C14" s="148">
        <v>0.43</v>
      </c>
      <c r="D14" s="148">
        <v>0.37</v>
      </c>
      <c r="E14" s="148">
        <v>0.28999999999999998</v>
      </c>
      <c r="F14" s="148">
        <v>0.26</v>
      </c>
      <c r="G14" s="148">
        <v>0.27</v>
      </c>
      <c r="H14" s="148">
        <v>0.21</v>
      </c>
      <c r="I14" s="148">
        <v>0.15</v>
      </c>
      <c r="J14" s="148">
        <v>0.09</v>
      </c>
      <c r="K14" s="148">
        <v>0.06</v>
      </c>
      <c r="L14" s="148">
        <v>0.05</v>
      </c>
      <c r="M14" s="148">
        <v>0.03</v>
      </c>
      <c r="N14" s="148">
        <v>0.01</v>
      </c>
      <c r="O14" s="148">
        <v>0</v>
      </c>
      <c r="P14" s="148">
        <v>0</v>
      </c>
      <c r="Q14" s="148">
        <v>0</v>
      </c>
      <c r="R14" s="148">
        <v>0</v>
      </c>
      <c r="S14" s="148">
        <v>0</v>
      </c>
      <c r="T14" s="148">
        <v>0</v>
      </c>
      <c r="U14" s="148">
        <v>0</v>
      </c>
      <c r="V14" s="148">
        <v>0</v>
      </c>
      <c r="W14" s="148">
        <v>0</v>
      </c>
      <c r="X14" s="148">
        <v>0</v>
      </c>
      <c r="Y14" s="148">
        <v>0</v>
      </c>
      <c r="Z14" s="148">
        <v>0</v>
      </c>
      <c r="AA14" s="148">
        <v>0</v>
      </c>
      <c r="AB14" s="148">
        <v>0</v>
      </c>
      <c r="AC14" s="148">
        <v>0</v>
      </c>
      <c r="AD14" s="148">
        <v>0</v>
      </c>
      <c r="AE14" s="148">
        <v>0</v>
      </c>
      <c r="AF14" s="148">
        <v>0</v>
      </c>
      <c r="AG14" s="148">
        <v>0</v>
      </c>
      <c r="AH14" s="148">
        <v>0</v>
      </c>
      <c r="AI14" s="148">
        <v>0</v>
      </c>
      <c r="AJ14" s="148">
        <v>0</v>
      </c>
      <c r="AK14" s="147">
        <v>0</v>
      </c>
    </row>
    <row r="15" spans="2:39" x14ac:dyDescent="0.25">
      <c r="B15" s="149" t="s">
        <v>151</v>
      </c>
      <c r="C15" s="148">
        <v>0.3</v>
      </c>
      <c r="D15" s="148">
        <v>0</v>
      </c>
      <c r="E15" s="148">
        <v>0</v>
      </c>
      <c r="F15" s="148">
        <v>0</v>
      </c>
      <c r="G15" s="148">
        <v>0</v>
      </c>
      <c r="H15" s="148">
        <v>0</v>
      </c>
      <c r="I15" s="148">
        <v>0</v>
      </c>
      <c r="J15" s="148">
        <v>0</v>
      </c>
      <c r="K15" s="148">
        <v>0</v>
      </c>
      <c r="L15" s="148">
        <v>0</v>
      </c>
      <c r="M15" s="148">
        <v>0</v>
      </c>
      <c r="N15" s="148">
        <v>0</v>
      </c>
      <c r="O15" s="148">
        <v>0</v>
      </c>
      <c r="P15" s="148">
        <v>0</v>
      </c>
      <c r="Q15" s="148">
        <v>0</v>
      </c>
      <c r="R15" s="148">
        <v>0</v>
      </c>
      <c r="S15" s="148">
        <v>0</v>
      </c>
      <c r="T15" s="148">
        <v>0</v>
      </c>
      <c r="U15" s="148">
        <v>0</v>
      </c>
      <c r="V15" s="148">
        <v>0</v>
      </c>
      <c r="W15" s="148">
        <v>0</v>
      </c>
      <c r="X15" s="148">
        <v>0</v>
      </c>
      <c r="Y15" s="148">
        <v>0</v>
      </c>
      <c r="Z15" s="148">
        <v>0</v>
      </c>
      <c r="AA15" s="148">
        <v>0</v>
      </c>
      <c r="AB15" s="148">
        <v>0</v>
      </c>
      <c r="AC15" s="148">
        <v>0</v>
      </c>
      <c r="AD15" s="148">
        <v>0</v>
      </c>
      <c r="AE15" s="148">
        <v>0</v>
      </c>
      <c r="AF15" s="148">
        <v>0</v>
      </c>
      <c r="AG15" s="148">
        <v>0</v>
      </c>
      <c r="AH15" s="148">
        <v>0</v>
      </c>
      <c r="AI15" s="148">
        <v>0</v>
      </c>
      <c r="AJ15" s="148">
        <v>0</v>
      </c>
      <c r="AK15" s="147">
        <v>0</v>
      </c>
    </row>
    <row r="16" spans="2:39" x14ac:dyDescent="0.25">
      <c r="B16" s="149" t="s">
        <v>152</v>
      </c>
      <c r="C16" s="148">
        <v>4.6152909999999997E-3</v>
      </c>
      <c r="D16" s="148">
        <v>3.5503430000000001E-3</v>
      </c>
      <c r="E16" s="148">
        <v>2.8242269999999999E-3</v>
      </c>
      <c r="F16" s="148">
        <v>2.2879319999999999E-3</v>
      </c>
      <c r="G16" s="148">
        <v>1.8957449999999999E-3</v>
      </c>
      <c r="H16" s="148">
        <v>5.5422000000000002E-4</v>
      </c>
      <c r="I16" s="148">
        <v>0</v>
      </c>
      <c r="J16" s="148">
        <v>0</v>
      </c>
      <c r="K16" s="148">
        <v>0</v>
      </c>
      <c r="L16" s="148">
        <v>0</v>
      </c>
      <c r="M16" s="148">
        <v>0</v>
      </c>
      <c r="N16" s="148">
        <v>0</v>
      </c>
      <c r="O16" s="148">
        <v>0</v>
      </c>
      <c r="P16" s="148">
        <v>0</v>
      </c>
      <c r="Q16" s="148">
        <v>0</v>
      </c>
      <c r="R16" s="148">
        <v>0</v>
      </c>
      <c r="S16" s="148">
        <v>0</v>
      </c>
      <c r="T16" s="148">
        <v>0</v>
      </c>
      <c r="U16" s="148">
        <v>0</v>
      </c>
      <c r="V16" s="148">
        <v>0</v>
      </c>
      <c r="W16" s="148">
        <v>0</v>
      </c>
      <c r="X16" s="148">
        <v>0</v>
      </c>
      <c r="Y16" s="148">
        <v>0</v>
      </c>
      <c r="Z16" s="148">
        <v>0</v>
      </c>
      <c r="AA16" s="148">
        <v>0</v>
      </c>
      <c r="AB16" s="148">
        <v>0</v>
      </c>
      <c r="AC16" s="148">
        <v>0</v>
      </c>
      <c r="AD16" s="148">
        <v>0</v>
      </c>
      <c r="AE16" s="148">
        <v>0</v>
      </c>
      <c r="AF16" s="148">
        <v>0</v>
      </c>
      <c r="AG16" s="148">
        <v>0</v>
      </c>
      <c r="AH16" s="148">
        <v>0</v>
      </c>
      <c r="AI16" s="148">
        <v>0</v>
      </c>
      <c r="AJ16" s="148">
        <v>0</v>
      </c>
      <c r="AK16" s="147">
        <v>0</v>
      </c>
    </row>
    <row r="17" spans="2:37" x14ac:dyDescent="0.25">
      <c r="B17" s="149" t="s">
        <v>153</v>
      </c>
      <c r="C17" s="148">
        <v>0.3</v>
      </c>
      <c r="D17" s="148">
        <v>0.2</v>
      </c>
      <c r="E17" s="148">
        <v>0.1</v>
      </c>
      <c r="F17" s="148">
        <v>0.1</v>
      </c>
      <c r="G17" s="148">
        <v>0.1</v>
      </c>
      <c r="H17" s="148">
        <v>0.1</v>
      </c>
      <c r="I17" s="148">
        <v>0.1</v>
      </c>
      <c r="J17" s="148">
        <v>0.1</v>
      </c>
      <c r="K17" s="148">
        <v>0</v>
      </c>
      <c r="L17" s="148">
        <v>0</v>
      </c>
      <c r="M17" s="148">
        <v>0</v>
      </c>
      <c r="N17" s="148">
        <v>0</v>
      </c>
      <c r="O17" s="148">
        <v>0</v>
      </c>
      <c r="P17" s="148">
        <v>0</v>
      </c>
      <c r="Q17" s="148">
        <v>0</v>
      </c>
      <c r="R17" s="148">
        <v>0</v>
      </c>
      <c r="S17" s="148">
        <v>0</v>
      </c>
      <c r="T17" s="148">
        <v>0</v>
      </c>
      <c r="U17" s="148">
        <v>0</v>
      </c>
      <c r="V17" s="148">
        <v>0</v>
      </c>
      <c r="W17" s="148">
        <v>0</v>
      </c>
      <c r="X17" s="148">
        <v>0</v>
      </c>
      <c r="Y17" s="148">
        <v>0</v>
      </c>
      <c r="Z17" s="148">
        <v>0</v>
      </c>
      <c r="AA17" s="148">
        <v>0</v>
      </c>
      <c r="AB17" s="148">
        <v>0</v>
      </c>
      <c r="AC17" s="148">
        <v>0</v>
      </c>
      <c r="AD17" s="148">
        <v>0</v>
      </c>
      <c r="AE17" s="148">
        <v>0</v>
      </c>
      <c r="AF17" s="148">
        <v>0</v>
      </c>
      <c r="AG17" s="148">
        <v>0</v>
      </c>
      <c r="AH17" s="148">
        <v>0</v>
      </c>
      <c r="AI17" s="148">
        <v>0</v>
      </c>
      <c r="AJ17" s="148">
        <v>0</v>
      </c>
      <c r="AK17" s="147">
        <v>0</v>
      </c>
    </row>
    <row r="18" spans="2:37" x14ac:dyDescent="0.25">
      <c r="B18" s="149" t="s">
        <v>154</v>
      </c>
      <c r="C18" s="148">
        <v>0</v>
      </c>
      <c r="D18" s="148">
        <v>0</v>
      </c>
      <c r="E18" s="148">
        <v>0</v>
      </c>
      <c r="F18" s="148">
        <v>0</v>
      </c>
      <c r="G18" s="148">
        <v>0</v>
      </c>
      <c r="H18" s="148">
        <v>0</v>
      </c>
      <c r="I18" s="148">
        <v>1.2880000000000001E-2</v>
      </c>
      <c r="J18" s="148">
        <v>2.555E-2</v>
      </c>
      <c r="K18" s="148">
        <v>2.555E-2</v>
      </c>
      <c r="L18" s="148">
        <v>2.5233782999999999E-2</v>
      </c>
      <c r="M18" s="148">
        <v>2.1396347999999999E-2</v>
      </c>
      <c r="N18" s="148">
        <v>1.7504267E-2</v>
      </c>
      <c r="O18" s="148">
        <v>1.4645923E-2</v>
      </c>
      <c r="P18" s="148">
        <v>1.2451489E-2</v>
      </c>
      <c r="Q18" s="148">
        <v>1.0755293000000001E-2</v>
      </c>
      <c r="R18" s="148">
        <v>9.3446390000000001E-3</v>
      </c>
      <c r="S18" s="148">
        <v>8.2223049999999992E-3</v>
      </c>
      <c r="T18" s="148">
        <v>7.2959720000000004E-3</v>
      </c>
      <c r="U18" s="148">
        <v>6.5388900000000003E-3</v>
      </c>
      <c r="V18" s="148">
        <v>5.8665770000000004E-3</v>
      </c>
      <c r="W18" s="148">
        <v>5.3093380000000003E-3</v>
      </c>
      <c r="X18" s="148">
        <v>4.8300699999999997E-3</v>
      </c>
      <c r="Y18" s="148">
        <v>4.4262650000000004E-3</v>
      </c>
      <c r="Z18" s="148">
        <v>4.0512509999999996E-3</v>
      </c>
      <c r="AA18" s="148">
        <v>3.7329989999999999E-3</v>
      </c>
      <c r="AB18" s="148">
        <v>3.4518940000000001E-3</v>
      </c>
      <c r="AC18" s="148">
        <v>1.7316969999999999E-3</v>
      </c>
      <c r="AD18" s="148">
        <v>0</v>
      </c>
      <c r="AE18" s="148">
        <v>0</v>
      </c>
      <c r="AF18" s="148">
        <v>0</v>
      </c>
      <c r="AG18" s="148">
        <v>0</v>
      </c>
      <c r="AH18" s="148">
        <v>0</v>
      </c>
      <c r="AI18" s="148">
        <v>0</v>
      </c>
      <c r="AJ18" s="148">
        <v>0</v>
      </c>
      <c r="AK18" s="147">
        <v>0</v>
      </c>
    </row>
    <row r="19" spans="2:37" x14ac:dyDescent="0.25">
      <c r="B19" s="149" t="s">
        <v>156</v>
      </c>
      <c r="C19" s="148">
        <v>3.5770793000000002E-2</v>
      </c>
      <c r="D19" s="148">
        <v>3.3525625000000003E-2</v>
      </c>
      <c r="E19" s="148">
        <v>3.1179370000000001E-2</v>
      </c>
      <c r="F19" s="148">
        <v>2.8912509999999999E-2</v>
      </c>
      <c r="G19" s="148">
        <v>2.7027802E-2</v>
      </c>
      <c r="H19" s="148">
        <v>2.5262086999999999E-2</v>
      </c>
      <c r="I19" s="148">
        <v>2.3673711E-2</v>
      </c>
      <c r="J19" s="148">
        <v>2.2127951E-2</v>
      </c>
      <c r="K19" s="148">
        <v>2.0788765000000001E-2</v>
      </c>
      <c r="L19" s="148">
        <v>1.9567989000000001E-2</v>
      </c>
      <c r="M19" s="148">
        <v>1.6090169999999999E-3</v>
      </c>
      <c r="N19" s="148">
        <v>0</v>
      </c>
      <c r="O19" s="148">
        <v>0</v>
      </c>
      <c r="P19" s="148">
        <v>0</v>
      </c>
      <c r="Q19" s="148">
        <v>0</v>
      </c>
      <c r="R19" s="148">
        <v>0</v>
      </c>
      <c r="S19" s="148">
        <v>0</v>
      </c>
      <c r="T19" s="148">
        <v>0</v>
      </c>
      <c r="U19" s="148">
        <v>0</v>
      </c>
      <c r="V19" s="148">
        <v>0</v>
      </c>
      <c r="W19" s="148">
        <v>0</v>
      </c>
      <c r="X19" s="148">
        <v>0</v>
      </c>
      <c r="Y19" s="148">
        <v>0</v>
      </c>
      <c r="Z19" s="148">
        <v>0</v>
      </c>
      <c r="AA19" s="148">
        <v>0</v>
      </c>
      <c r="AB19" s="148">
        <v>0</v>
      </c>
      <c r="AC19" s="148">
        <v>0</v>
      </c>
      <c r="AD19" s="148">
        <v>0</v>
      </c>
      <c r="AE19" s="148">
        <v>0</v>
      </c>
      <c r="AF19" s="148">
        <v>0</v>
      </c>
      <c r="AG19" s="148">
        <v>0</v>
      </c>
      <c r="AH19" s="148">
        <v>0</v>
      </c>
      <c r="AI19" s="148">
        <v>0</v>
      </c>
      <c r="AJ19" s="148">
        <v>0</v>
      </c>
      <c r="AK19" s="147">
        <v>0</v>
      </c>
    </row>
    <row r="20" spans="2:37" x14ac:dyDescent="0.25">
      <c r="B20" s="149" t="s">
        <v>157</v>
      </c>
      <c r="C20" s="148">
        <v>4.5935150000000003E-3</v>
      </c>
      <c r="D20" s="148">
        <v>4.3092900000000003E-3</v>
      </c>
      <c r="E20" s="148">
        <v>4.0614179999999998E-3</v>
      </c>
      <c r="F20" s="148">
        <v>3.814006E-3</v>
      </c>
      <c r="G20" s="148">
        <v>3.5980729999999998E-3</v>
      </c>
      <c r="H20" s="148">
        <v>3.3999740000000001E-3</v>
      </c>
      <c r="I20" s="148">
        <v>2.1703500000000001E-3</v>
      </c>
      <c r="J20" s="148">
        <v>0</v>
      </c>
      <c r="K20" s="148">
        <v>0</v>
      </c>
      <c r="L20" s="148">
        <v>0</v>
      </c>
      <c r="M20" s="148">
        <v>0</v>
      </c>
      <c r="N20" s="148">
        <v>0</v>
      </c>
      <c r="O20" s="148">
        <v>0</v>
      </c>
      <c r="P20" s="148">
        <v>0</v>
      </c>
      <c r="Q20" s="148">
        <v>0</v>
      </c>
      <c r="R20" s="148">
        <v>0</v>
      </c>
      <c r="S20" s="148">
        <v>0</v>
      </c>
      <c r="T20" s="148">
        <v>0</v>
      </c>
      <c r="U20" s="148">
        <v>0</v>
      </c>
      <c r="V20" s="148">
        <v>0</v>
      </c>
      <c r="W20" s="148">
        <v>0</v>
      </c>
      <c r="X20" s="148">
        <v>0</v>
      </c>
      <c r="Y20" s="148">
        <v>0</v>
      </c>
      <c r="Z20" s="148">
        <v>0</v>
      </c>
      <c r="AA20" s="148">
        <v>0</v>
      </c>
      <c r="AB20" s="148">
        <v>0</v>
      </c>
      <c r="AC20" s="148">
        <v>0</v>
      </c>
      <c r="AD20" s="148">
        <v>0</v>
      </c>
      <c r="AE20" s="148">
        <v>0</v>
      </c>
      <c r="AF20" s="148">
        <v>0</v>
      </c>
      <c r="AG20" s="148">
        <v>0</v>
      </c>
      <c r="AH20" s="148">
        <v>0</v>
      </c>
      <c r="AI20" s="148">
        <v>0</v>
      </c>
      <c r="AJ20" s="148">
        <v>0</v>
      </c>
      <c r="AK20" s="147">
        <v>0</v>
      </c>
    </row>
    <row r="21" spans="2:37" x14ac:dyDescent="0.25">
      <c r="B21" s="149" t="s">
        <v>159</v>
      </c>
      <c r="C21" s="148">
        <v>0.801414026</v>
      </c>
      <c r="D21" s="148">
        <v>0.80515498600000002</v>
      </c>
      <c r="E21" s="148">
        <v>0.82439876499999998</v>
      </c>
      <c r="F21" s="148">
        <v>0.79847857499999997</v>
      </c>
      <c r="G21" s="148">
        <v>0.78131418600000002</v>
      </c>
      <c r="H21" s="148">
        <v>0.77928247500000003</v>
      </c>
      <c r="I21" s="148">
        <v>0.78746089799999996</v>
      </c>
      <c r="J21" s="148">
        <v>0.78051903600000005</v>
      </c>
      <c r="K21" s="148">
        <v>0.79152745800000002</v>
      </c>
      <c r="L21" s="148">
        <v>0.79347401200000001</v>
      </c>
      <c r="M21" s="148">
        <v>0.74144627100000005</v>
      </c>
      <c r="N21" s="148">
        <v>0.667139645</v>
      </c>
      <c r="O21" s="148">
        <v>0.57892619899999997</v>
      </c>
      <c r="P21" s="148">
        <v>0.46179156599999999</v>
      </c>
      <c r="Q21" s="148">
        <v>0.374730866</v>
      </c>
      <c r="R21" s="148">
        <v>0.31181658600000001</v>
      </c>
      <c r="S21" s="148">
        <v>0.264005086</v>
      </c>
      <c r="T21" s="148">
        <v>0.22818113300000001</v>
      </c>
      <c r="U21" s="148">
        <v>0.199944647</v>
      </c>
      <c r="V21" s="148">
        <v>0.17440581899999999</v>
      </c>
      <c r="W21" s="148">
        <v>0.15225151000000001</v>
      </c>
      <c r="X21" s="148">
        <v>0.13475225599999999</v>
      </c>
      <c r="Y21" s="148">
        <v>0.11915250400000001</v>
      </c>
      <c r="Z21" s="148">
        <v>0.106200343</v>
      </c>
      <c r="AA21" s="148">
        <v>9.4569505999999998E-2</v>
      </c>
      <c r="AB21" s="148">
        <v>8.5840278000000006E-2</v>
      </c>
      <c r="AC21" s="148">
        <v>7.6027332000000003E-2</v>
      </c>
      <c r="AD21" s="148">
        <v>5.7668606999999997E-2</v>
      </c>
      <c r="AE21" s="148">
        <v>4.5592000000000002E-3</v>
      </c>
      <c r="AF21" s="148">
        <v>0</v>
      </c>
      <c r="AG21" s="148">
        <v>0</v>
      </c>
      <c r="AH21" s="148">
        <v>0</v>
      </c>
      <c r="AI21" s="148">
        <v>0</v>
      </c>
      <c r="AJ21" s="148">
        <v>0</v>
      </c>
      <c r="AK21" s="147">
        <v>0</v>
      </c>
    </row>
    <row r="22" spans="2:37" x14ac:dyDescent="0.25">
      <c r="B22" s="149" t="s">
        <v>160</v>
      </c>
      <c r="C22" s="148">
        <v>0.110004252</v>
      </c>
      <c r="D22" s="148">
        <v>0.10175002</v>
      </c>
      <c r="E22" s="148">
        <v>9.4115148999999995E-2</v>
      </c>
      <c r="F22" s="148">
        <v>8.7053165000000002E-2</v>
      </c>
      <c r="G22" s="148">
        <v>8.0521079999999995E-2</v>
      </c>
      <c r="H22" s="148">
        <v>7.4479135000000002E-2</v>
      </c>
      <c r="I22" s="148">
        <v>6.8890549999999995E-2</v>
      </c>
      <c r="J22" s="148">
        <v>6.3721308000000004E-2</v>
      </c>
      <c r="K22" s="148">
        <v>5.8939944000000001E-2</v>
      </c>
      <c r="L22" s="148">
        <v>5.4517350999999999E-2</v>
      </c>
      <c r="M22" s="148">
        <v>5.0426609999999997E-2</v>
      </c>
      <c r="N22" s="148">
        <v>4.6642821000000001E-2</v>
      </c>
      <c r="O22" s="148">
        <v>4.3142949999999999E-2</v>
      </c>
      <c r="P22" s="148">
        <v>3.9905693999999999E-2</v>
      </c>
      <c r="Q22" s="148">
        <v>3.6911346999999997E-2</v>
      </c>
      <c r="R22" s="148">
        <v>3.4141682999999999E-2</v>
      </c>
      <c r="S22" s="148">
        <v>3.1579841999999997E-2</v>
      </c>
      <c r="T22" s="148">
        <v>2.9210231E-2</v>
      </c>
      <c r="U22" s="148">
        <v>2.7018423999999999E-2</v>
      </c>
      <c r="V22" s="148">
        <v>2.4991080999999998E-2</v>
      </c>
      <c r="W22" s="148">
        <v>2.3115861000000001E-2</v>
      </c>
      <c r="X22" s="148">
        <v>2.1381349000000001E-2</v>
      </c>
      <c r="Y22" s="148">
        <v>1.9776987999999999E-2</v>
      </c>
      <c r="Z22" s="148">
        <v>1.8293009999999998E-2</v>
      </c>
      <c r="AA22" s="148">
        <v>1.6920384E-2</v>
      </c>
      <c r="AB22" s="148">
        <v>1.5650753E-2</v>
      </c>
      <c r="AC22" s="148">
        <v>1.447639E-2</v>
      </c>
      <c r="AD22" s="148">
        <v>1.3390145000000001E-2</v>
      </c>
      <c r="AE22" s="148">
        <v>1.2385408000000001E-2</v>
      </c>
      <c r="AF22" s="148">
        <v>1.1456061999999999E-2</v>
      </c>
      <c r="AG22" s="148">
        <v>1.059645E-2</v>
      </c>
      <c r="AH22" s="148">
        <v>9.8013389999999992E-3</v>
      </c>
      <c r="AI22" s="148">
        <v>9.0658900000000001E-3</v>
      </c>
      <c r="AJ22" s="148">
        <v>8.3856260000000002E-3</v>
      </c>
      <c r="AK22" s="147">
        <v>7.7564060000000004E-3</v>
      </c>
    </row>
    <row r="23" spans="2:37" x14ac:dyDescent="0.25">
      <c r="B23" s="152" t="s">
        <v>169</v>
      </c>
      <c r="C23" s="150">
        <v>4.5840728119999996</v>
      </c>
      <c r="D23" s="150">
        <v>3.8530489750000001</v>
      </c>
      <c r="E23" s="150">
        <v>3.4770824519999999</v>
      </c>
      <c r="F23" s="150">
        <v>3.2992111230000001</v>
      </c>
      <c r="G23" s="150">
        <v>3.078930266</v>
      </c>
      <c r="H23" s="150">
        <v>2.7965756910000001</v>
      </c>
      <c r="I23" s="150">
        <v>1.6506355340000001</v>
      </c>
      <c r="J23" s="150">
        <v>1.436443962</v>
      </c>
      <c r="K23" s="150">
        <v>1.2138127780000001</v>
      </c>
      <c r="L23" s="150">
        <v>1.1857579090000001</v>
      </c>
      <c r="M23" s="150">
        <v>0.99475200500000005</v>
      </c>
      <c r="N23" s="150">
        <v>0.83353667099999995</v>
      </c>
      <c r="O23" s="150">
        <v>0.73912520199999998</v>
      </c>
      <c r="P23" s="150">
        <v>0.61025254600000001</v>
      </c>
      <c r="Q23" s="150">
        <v>0.50549160100000001</v>
      </c>
      <c r="R23" s="150">
        <v>0.42855263900000001</v>
      </c>
      <c r="S23" s="150">
        <v>0.36988286300000001</v>
      </c>
      <c r="T23" s="150">
        <v>0.323930673</v>
      </c>
      <c r="U23" s="150">
        <v>0.28706230300000002</v>
      </c>
      <c r="V23" s="150">
        <v>0.25194761700000001</v>
      </c>
      <c r="W23" s="150">
        <v>0.22276584899999999</v>
      </c>
      <c r="X23" s="150">
        <v>0.19609015900000001</v>
      </c>
      <c r="Y23" s="150">
        <v>0.150451838</v>
      </c>
      <c r="Z23" s="150">
        <v>0.13290802500000001</v>
      </c>
      <c r="AA23" s="150">
        <v>0.119320152</v>
      </c>
      <c r="AB23" s="150">
        <v>0.108795026</v>
      </c>
      <c r="AC23" s="150">
        <v>9.5870987000000005E-2</v>
      </c>
      <c r="AD23" s="150">
        <v>7.4475165999999995E-2</v>
      </c>
      <c r="AE23" s="150">
        <v>2.0167719000000001E-2</v>
      </c>
      <c r="AF23" s="150">
        <v>1.38441E-2</v>
      </c>
      <c r="AG23" s="150">
        <v>1.2166912E-2</v>
      </c>
      <c r="AH23" s="150">
        <v>9.8013389999999992E-3</v>
      </c>
      <c r="AI23" s="150">
        <v>9.0658900000000001E-3</v>
      </c>
      <c r="AJ23" s="150">
        <v>8.3856260000000002E-3</v>
      </c>
      <c r="AK23" s="151">
        <v>7.7564060000000004E-3</v>
      </c>
    </row>
  </sheetData>
  <mergeCells count="1">
    <mergeCell ref="B2:M2"/>
  </mergeCells>
  <pageMargins left="0.05" right="0.05" top="0.5" bottom="0.5" header="0" footer="0"/>
  <pageSetup paperSize="8" orientation="landscape"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03F99"/>
    <pageSetUpPr fitToPage="1"/>
  </sheetPr>
  <dimension ref="B2:AM23"/>
  <sheetViews>
    <sheetView showGridLines="0" zoomScale="85" zoomScaleNormal="85" zoomScalePageLayoutView="85" workbookViewId="0">
      <pane xSplit="2" topLeftCell="C1" activePane="topRight" state="frozen"/>
      <selection activeCell="A4" sqref="A4"/>
      <selection pane="topRight"/>
    </sheetView>
  </sheetViews>
  <sheetFormatPr defaultColWidth="11.42578125" defaultRowHeight="15" x14ac:dyDescent="0.25"/>
  <cols>
    <col min="1" max="1" width="10.140625" customWidth="1"/>
    <col min="2" max="2" width="36" customWidth="1"/>
    <col min="3" max="38" width="10.5703125" customWidth="1"/>
  </cols>
  <sheetData>
    <row r="2" spans="2:39" ht="41.25" customHeight="1" x14ac:dyDescent="0.35">
      <c r="B2" s="274" t="s">
        <v>99</v>
      </c>
      <c r="C2" s="242"/>
      <c r="D2" s="242"/>
      <c r="E2" s="242"/>
      <c r="F2" s="242"/>
      <c r="G2" s="242"/>
      <c r="H2" s="242"/>
      <c r="I2" s="242"/>
      <c r="J2" s="242"/>
      <c r="K2" s="242"/>
      <c r="L2" s="242"/>
      <c r="M2" s="242"/>
    </row>
    <row r="4" spans="2:39" ht="17.100000000000001" customHeight="1" x14ac:dyDescent="0.25">
      <c r="B4" s="164" t="s">
        <v>179</v>
      </c>
      <c r="C4" s="162" t="s">
        <v>180</v>
      </c>
      <c r="D4" s="162" t="s">
        <v>181</v>
      </c>
      <c r="E4" s="162" t="s">
        <v>182</v>
      </c>
      <c r="F4" s="162" t="s">
        <v>183</v>
      </c>
      <c r="G4" s="162" t="s">
        <v>184</v>
      </c>
      <c r="H4" s="162" t="s">
        <v>185</v>
      </c>
      <c r="I4" s="162" t="s">
        <v>186</v>
      </c>
      <c r="J4" s="162" t="s">
        <v>187</v>
      </c>
      <c r="K4" s="162" t="s">
        <v>188</v>
      </c>
      <c r="L4" s="162" t="s">
        <v>189</v>
      </c>
      <c r="M4" s="162" t="s">
        <v>190</v>
      </c>
      <c r="N4" s="162" t="s">
        <v>191</v>
      </c>
      <c r="O4" s="162" t="s">
        <v>192</v>
      </c>
      <c r="P4" s="162" t="s">
        <v>193</v>
      </c>
      <c r="Q4" s="162" t="s">
        <v>194</v>
      </c>
      <c r="R4" s="162" t="s">
        <v>195</v>
      </c>
      <c r="S4" s="162" t="s">
        <v>196</v>
      </c>
      <c r="T4" s="162" t="s">
        <v>197</v>
      </c>
      <c r="U4" s="162" t="s">
        <v>198</v>
      </c>
      <c r="V4" s="162" t="s">
        <v>199</v>
      </c>
      <c r="W4" s="162" t="s">
        <v>200</v>
      </c>
      <c r="X4" s="162" t="s">
        <v>201</v>
      </c>
      <c r="Y4" s="162" t="s">
        <v>202</v>
      </c>
      <c r="Z4" s="162" t="s">
        <v>203</v>
      </c>
      <c r="AA4" s="162" t="s">
        <v>204</v>
      </c>
      <c r="AB4" s="162" t="s">
        <v>205</v>
      </c>
      <c r="AC4" s="162" t="s">
        <v>206</v>
      </c>
      <c r="AD4" s="162" t="s">
        <v>207</v>
      </c>
      <c r="AE4" s="162" t="s">
        <v>208</v>
      </c>
      <c r="AF4" s="162" t="s">
        <v>209</v>
      </c>
      <c r="AG4" s="162" t="s">
        <v>210</v>
      </c>
      <c r="AH4" s="162" t="s">
        <v>211</v>
      </c>
      <c r="AI4" s="162" t="s">
        <v>212</v>
      </c>
      <c r="AJ4" s="162" t="s">
        <v>213</v>
      </c>
      <c r="AK4" s="163" t="s">
        <v>214</v>
      </c>
      <c r="AL4" s="146"/>
      <c r="AM4" s="146"/>
    </row>
    <row r="5" spans="2:39" x14ac:dyDescent="0.25">
      <c r="B5" s="158" t="s">
        <v>140</v>
      </c>
      <c r="C5" s="157">
        <v>0.114252253181632</v>
      </c>
      <c r="D5" s="157">
        <v>9.7618800066969505E-2</v>
      </c>
      <c r="E5" s="157">
        <v>7.0194054472794296E-2</v>
      </c>
      <c r="F5" s="157">
        <v>5.3137941040115502E-2</v>
      </c>
      <c r="G5" s="157">
        <v>3.5092310125519902E-2</v>
      </c>
      <c r="H5" s="157">
        <v>2.30351643518312E-2</v>
      </c>
      <c r="I5" s="157">
        <v>1.4634135258191801E-2</v>
      </c>
      <c r="J5" s="157">
        <v>4.1602266913924602E-3</v>
      </c>
      <c r="K5" s="157">
        <v>0</v>
      </c>
      <c r="L5" s="157">
        <v>0</v>
      </c>
      <c r="M5" s="157">
        <v>0</v>
      </c>
      <c r="N5" s="157">
        <v>0</v>
      </c>
      <c r="O5" s="157">
        <v>0</v>
      </c>
      <c r="P5" s="157">
        <v>0</v>
      </c>
      <c r="Q5" s="157">
        <v>0</v>
      </c>
      <c r="R5" s="157">
        <v>0</v>
      </c>
      <c r="S5" s="157">
        <v>0</v>
      </c>
      <c r="T5" s="157">
        <v>0</v>
      </c>
      <c r="U5" s="157">
        <v>0</v>
      </c>
      <c r="V5" s="157">
        <v>0</v>
      </c>
      <c r="W5" s="157">
        <v>0</v>
      </c>
      <c r="X5" s="157">
        <v>0</v>
      </c>
      <c r="Y5" s="157">
        <v>0</v>
      </c>
      <c r="Z5" s="157">
        <v>0</v>
      </c>
      <c r="AA5" s="157">
        <v>0</v>
      </c>
      <c r="AB5" s="157">
        <v>0</v>
      </c>
      <c r="AC5" s="157">
        <v>0</v>
      </c>
      <c r="AD5" s="157">
        <v>0</v>
      </c>
      <c r="AE5" s="157">
        <v>0</v>
      </c>
      <c r="AF5" s="157">
        <v>0</v>
      </c>
      <c r="AG5" s="157">
        <v>0</v>
      </c>
      <c r="AH5" s="157">
        <v>0</v>
      </c>
      <c r="AI5" s="157">
        <v>0</v>
      </c>
      <c r="AJ5" s="157">
        <v>0</v>
      </c>
      <c r="AK5" s="156">
        <v>0</v>
      </c>
    </row>
    <row r="6" spans="2:39" x14ac:dyDescent="0.25">
      <c r="B6" s="158" t="s">
        <v>138</v>
      </c>
      <c r="C6" s="157">
        <v>0.41455113654172299</v>
      </c>
      <c r="D6" s="157">
        <v>0.39963775498459497</v>
      </c>
      <c r="E6" s="157">
        <v>0.31435975543007899</v>
      </c>
      <c r="F6" s="157">
        <v>0.31714405505284898</v>
      </c>
      <c r="G6" s="157">
        <v>0.17763163074435501</v>
      </c>
      <c r="H6" s="157">
        <v>0.117573990709506</v>
      </c>
      <c r="I6" s="157">
        <v>8.0618845866033101E-2</v>
      </c>
      <c r="J6" s="157">
        <v>2.48296247861108E-2</v>
      </c>
      <c r="K6" s="157">
        <v>0</v>
      </c>
      <c r="L6" s="157">
        <v>0</v>
      </c>
      <c r="M6" s="157">
        <v>0</v>
      </c>
      <c r="N6" s="157">
        <v>0</v>
      </c>
      <c r="O6" s="157">
        <v>0</v>
      </c>
      <c r="P6" s="157">
        <v>0</v>
      </c>
      <c r="Q6" s="157">
        <v>0</v>
      </c>
      <c r="R6" s="157">
        <v>0</v>
      </c>
      <c r="S6" s="157">
        <v>0</v>
      </c>
      <c r="T6" s="157">
        <v>0</v>
      </c>
      <c r="U6" s="157">
        <v>0</v>
      </c>
      <c r="V6" s="157">
        <v>0</v>
      </c>
      <c r="W6" s="157">
        <v>0</v>
      </c>
      <c r="X6" s="157">
        <v>0</v>
      </c>
      <c r="Y6" s="157">
        <v>0</v>
      </c>
      <c r="Z6" s="157">
        <v>0</v>
      </c>
      <c r="AA6" s="157">
        <v>0</v>
      </c>
      <c r="AB6" s="157">
        <v>0</v>
      </c>
      <c r="AC6" s="157">
        <v>0</v>
      </c>
      <c r="AD6" s="157">
        <v>0</v>
      </c>
      <c r="AE6" s="157">
        <v>0</v>
      </c>
      <c r="AF6" s="157">
        <v>0</v>
      </c>
      <c r="AG6" s="157">
        <v>0</v>
      </c>
      <c r="AH6" s="157">
        <v>0</v>
      </c>
      <c r="AI6" s="157">
        <v>0</v>
      </c>
      <c r="AJ6" s="157">
        <v>0</v>
      </c>
      <c r="AK6" s="156">
        <v>0</v>
      </c>
    </row>
    <row r="7" spans="2:39" x14ac:dyDescent="0.25">
      <c r="B7" s="158" t="s">
        <v>141</v>
      </c>
      <c r="C7" s="157">
        <v>2.0858709737165298E-3</v>
      </c>
      <c r="D7" s="157">
        <v>1.56390702013217E-3</v>
      </c>
      <c r="E7" s="157">
        <v>1.17255737053693E-3</v>
      </c>
      <c r="F7" s="157">
        <v>8.7913897110252599E-4</v>
      </c>
      <c r="G7" s="157">
        <v>6.5914395313240097E-4</v>
      </c>
      <c r="H7" s="157">
        <v>4.9420173234498001E-4</v>
      </c>
      <c r="I7" s="157">
        <v>3.7053240534035299E-4</v>
      </c>
      <c r="J7" s="157">
        <v>2.7781087051225399E-4</v>
      </c>
      <c r="K7" s="157">
        <v>2.08292319061615E-4</v>
      </c>
      <c r="L7" s="157">
        <v>1.5616942176181501E-4</v>
      </c>
      <c r="M7" s="157">
        <v>0</v>
      </c>
      <c r="N7" s="157">
        <v>0</v>
      </c>
      <c r="O7" s="157">
        <v>0</v>
      </c>
      <c r="P7" s="157">
        <v>0</v>
      </c>
      <c r="Q7" s="157">
        <v>0</v>
      </c>
      <c r="R7" s="157">
        <v>0</v>
      </c>
      <c r="S7" s="157">
        <v>0</v>
      </c>
      <c r="T7" s="157">
        <v>0</v>
      </c>
      <c r="U7" s="157">
        <v>0</v>
      </c>
      <c r="V7" s="157">
        <v>0</v>
      </c>
      <c r="W7" s="157">
        <v>0</v>
      </c>
      <c r="X7" s="157">
        <v>0</v>
      </c>
      <c r="Y7" s="157">
        <v>0</v>
      </c>
      <c r="Z7" s="157">
        <v>0</v>
      </c>
      <c r="AA7" s="157">
        <v>0</v>
      </c>
      <c r="AB7" s="157">
        <v>0</v>
      </c>
      <c r="AC7" s="157">
        <v>0</v>
      </c>
      <c r="AD7" s="157">
        <v>0</v>
      </c>
      <c r="AE7" s="157">
        <v>0</v>
      </c>
      <c r="AF7" s="157">
        <v>0</v>
      </c>
      <c r="AG7" s="157">
        <v>0</v>
      </c>
      <c r="AH7" s="157">
        <v>0</v>
      </c>
      <c r="AI7" s="157">
        <v>0</v>
      </c>
      <c r="AJ7" s="157">
        <v>0</v>
      </c>
      <c r="AK7" s="156">
        <v>0</v>
      </c>
    </row>
    <row r="8" spans="2:39" x14ac:dyDescent="0.25">
      <c r="B8" s="158" t="s">
        <v>142</v>
      </c>
      <c r="C8" s="157">
        <v>1.7065757616141299</v>
      </c>
      <c r="D8" s="157">
        <v>1.6790097575017</v>
      </c>
      <c r="E8" s="157">
        <v>2.48191151221106</v>
      </c>
      <c r="F8" s="157">
        <v>2.1664660739703199</v>
      </c>
      <c r="G8" s="157">
        <v>2.2759205838799201</v>
      </c>
      <c r="H8" s="157">
        <v>2.2866653971718298</v>
      </c>
      <c r="I8" s="157">
        <v>2.0402824007651801</v>
      </c>
      <c r="J8" s="157">
        <v>1.7607649919020401</v>
      </c>
      <c r="K8" s="157">
        <v>1.6340985715879199</v>
      </c>
      <c r="L8" s="157">
        <v>1.9309224927500199</v>
      </c>
      <c r="M8" s="157">
        <v>1.7850760026233701</v>
      </c>
      <c r="N8" s="157">
        <v>1.7986435411980899</v>
      </c>
      <c r="O8" s="157">
        <v>2.1214567562406601</v>
      </c>
      <c r="P8" s="157">
        <v>2.0069159982746498</v>
      </c>
      <c r="Q8" s="157">
        <v>1.7927892148387401</v>
      </c>
      <c r="R8" s="157">
        <v>1.6585341694248401</v>
      </c>
      <c r="S8" s="157">
        <v>1.49798372073972</v>
      </c>
      <c r="T8" s="157">
        <v>1.3421900648991101</v>
      </c>
      <c r="U8" s="157">
        <v>1.21332261491094</v>
      </c>
      <c r="V8" s="157">
        <v>1.09608422915489</v>
      </c>
      <c r="W8" s="157">
        <v>0.99860052371524899</v>
      </c>
      <c r="X8" s="157">
        <v>0.91320045544761896</v>
      </c>
      <c r="Y8" s="157">
        <v>7.4011915552503596E-2</v>
      </c>
      <c r="Z8" s="157">
        <v>0</v>
      </c>
      <c r="AA8" s="157">
        <v>0</v>
      </c>
      <c r="AB8" s="157">
        <v>0</v>
      </c>
      <c r="AC8" s="157">
        <v>0</v>
      </c>
      <c r="AD8" s="157">
        <v>0</v>
      </c>
      <c r="AE8" s="157">
        <v>0</v>
      </c>
      <c r="AF8" s="157">
        <v>0</v>
      </c>
      <c r="AG8" s="157">
        <v>0</v>
      </c>
      <c r="AH8" s="157">
        <v>0</v>
      </c>
      <c r="AI8" s="157">
        <v>0</v>
      </c>
      <c r="AJ8" s="157">
        <v>0</v>
      </c>
      <c r="AK8" s="156">
        <v>0</v>
      </c>
    </row>
    <row r="9" spans="2:39" x14ac:dyDescent="0.25">
      <c r="B9" s="158" t="s">
        <v>165</v>
      </c>
      <c r="C9" s="157">
        <v>5.1385731722914402E-3</v>
      </c>
      <c r="D9" s="157">
        <v>5.1385731722914402E-3</v>
      </c>
      <c r="E9" s="157">
        <v>5.1385731722914402E-3</v>
      </c>
      <c r="F9" s="157">
        <v>5.1385731722914402E-3</v>
      </c>
      <c r="G9" s="157">
        <v>5.1385731722914402E-3</v>
      </c>
      <c r="H9" s="157">
        <v>5.1385731722914402E-3</v>
      </c>
      <c r="I9" s="157">
        <v>5.1385731722914402E-3</v>
      </c>
      <c r="J9" s="157">
        <v>5.1385731722914402E-3</v>
      </c>
      <c r="K9" s="157">
        <v>5.1385731722914402E-3</v>
      </c>
      <c r="L9" s="157">
        <v>5.1385731722914402E-3</v>
      </c>
      <c r="M9" s="157">
        <v>5.1385731722914402E-3</v>
      </c>
      <c r="N9" s="157">
        <v>5.1385731722914402E-3</v>
      </c>
      <c r="O9" s="157">
        <v>5.1385731722914402E-3</v>
      </c>
      <c r="P9" s="157">
        <v>5.1385731722914402E-3</v>
      </c>
      <c r="Q9" s="157">
        <v>5.1385731722914402E-3</v>
      </c>
      <c r="R9" s="157">
        <v>5.1385731722914402E-3</v>
      </c>
      <c r="S9" s="157">
        <v>5.1385731722914402E-3</v>
      </c>
      <c r="T9" s="157">
        <v>5.1385731722914402E-3</v>
      </c>
      <c r="U9" s="157">
        <v>5.1385731722914402E-3</v>
      </c>
      <c r="V9" s="157">
        <v>5.1385731722914402E-3</v>
      </c>
      <c r="W9" s="157">
        <v>5.1385731722914402E-3</v>
      </c>
      <c r="X9" s="157">
        <v>5.1385731722914402E-3</v>
      </c>
      <c r="Y9" s="157">
        <v>5.1385731722914402E-3</v>
      </c>
      <c r="Z9" s="157">
        <v>5.1385731722914402E-3</v>
      </c>
      <c r="AA9" s="157">
        <v>5.1385731722914402E-3</v>
      </c>
      <c r="AB9" s="157">
        <v>5.1385731722914402E-3</v>
      </c>
      <c r="AC9" s="157">
        <v>5.1385731722914402E-3</v>
      </c>
      <c r="AD9" s="157">
        <v>5.1385731722914402E-3</v>
      </c>
      <c r="AE9" s="157">
        <v>0</v>
      </c>
      <c r="AF9" s="157">
        <v>0</v>
      </c>
      <c r="AG9" s="157">
        <v>0</v>
      </c>
      <c r="AH9" s="157">
        <v>0</v>
      </c>
      <c r="AI9" s="157">
        <v>0</v>
      </c>
      <c r="AJ9" s="157">
        <v>0</v>
      </c>
      <c r="AK9" s="156">
        <v>0</v>
      </c>
    </row>
    <row r="10" spans="2:39" x14ac:dyDescent="0.25">
      <c r="B10" s="158" t="s">
        <v>144</v>
      </c>
      <c r="C10" s="157">
        <v>10.0518720117217</v>
      </c>
      <c r="D10" s="157">
        <v>9.0165412464054207</v>
      </c>
      <c r="E10" s="157">
        <v>7.9751313189668602</v>
      </c>
      <c r="F10" s="157">
        <v>8.3776185051895702</v>
      </c>
      <c r="G10" s="157">
        <v>7.0572585061770399</v>
      </c>
      <c r="H10" s="157">
        <v>6.0308428328587498</v>
      </c>
      <c r="I10" s="157">
        <v>5.3935594792717501</v>
      </c>
      <c r="J10" s="157">
        <v>4.4729572476771304</v>
      </c>
      <c r="K10" s="157">
        <v>4.0780057020987304</v>
      </c>
      <c r="L10" s="157">
        <v>3.5592955850530998</v>
      </c>
      <c r="M10" s="157">
        <v>3.0344156062163901</v>
      </c>
      <c r="N10" s="157">
        <v>0</v>
      </c>
      <c r="O10" s="157">
        <v>0</v>
      </c>
      <c r="P10" s="157">
        <v>0</v>
      </c>
      <c r="Q10" s="157">
        <v>0</v>
      </c>
      <c r="R10" s="157">
        <v>0</v>
      </c>
      <c r="S10" s="157">
        <v>0</v>
      </c>
      <c r="T10" s="157">
        <v>0</v>
      </c>
      <c r="U10" s="157">
        <v>0</v>
      </c>
      <c r="V10" s="157">
        <v>0</v>
      </c>
      <c r="W10" s="157">
        <v>0</v>
      </c>
      <c r="X10" s="157">
        <v>0</v>
      </c>
      <c r="Y10" s="157">
        <v>0</v>
      </c>
      <c r="Z10" s="157">
        <v>0</v>
      </c>
      <c r="AA10" s="157">
        <v>0</v>
      </c>
      <c r="AB10" s="157">
        <v>0</v>
      </c>
      <c r="AC10" s="157">
        <v>0</v>
      </c>
      <c r="AD10" s="157">
        <v>0</v>
      </c>
      <c r="AE10" s="157">
        <v>0</v>
      </c>
      <c r="AF10" s="157">
        <v>0</v>
      </c>
      <c r="AG10" s="157">
        <v>0</v>
      </c>
      <c r="AH10" s="157">
        <v>0</v>
      </c>
      <c r="AI10" s="157">
        <v>0</v>
      </c>
      <c r="AJ10" s="157">
        <v>0</v>
      </c>
      <c r="AK10" s="156">
        <v>0</v>
      </c>
    </row>
    <row r="11" spans="2:39" x14ac:dyDescent="0.25">
      <c r="B11" s="158" t="s">
        <v>147</v>
      </c>
      <c r="C11" s="157">
        <v>0.14974149120333999</v>
      </c>
      <c r="D11" s="157">
        <v>0.34073479698787101</v>
      </c>
      <c r="E11" s="157">
        <v>0.89230431680636002</v>
      </c>
      <c r="F11" s="157">
        <v>0.80759896321035896</v>
      </c>
      <c r="G11" s="157">
        <v>0.73576803848817096</v>
      </c>
      <c r="H11" s="157">
        <v>0.67263555904640804</v>
      </c>
      <c r="I11" s="157">
        <v>0.61850605824226701</v>
      </c>
      <c r="J11" s="157">
        <v>0.56731424348224502</v>
      </c>
      <c r="K11" s="157">
        <v>0.523296012768666</v>
      </c>
      <c r="L11" s="157">
        <v>0.48394680452379002</v>
      </c>
      <c r="M11" s="157">
        <v>0.44983012021854302</v>
      </c>
      <c r="N11" s="157">
        <v>0.40751040332074401</v>
      </c>
      <c r="O11" s="157">
        <v>0.37958646120664102</v>
      </c>
      <c r="P11" s="157">
        <v>0.35441050828350801</v>
      </c>
      <c r="Q11" s="157">
        <v>0.32890576571329</v>
      </c>
      <c r="R11" s="157">
        <v>0.301101644666732</v>
      </c>
      <c r="S11" s="157">
        <v>0.28248931557436902</v>
      </c>
      <c r="T11" s="157">
        <v>0.26545395644463499</v>
      </c>
      <c r="U11" s="157">
        <v>0.25049172842495898</v>
      </c>
      <c r="V11" s="157">
        <v>0.23542572028752101</v>
      </c>
      <c r="W11" s="157">
        <v>0.22219853556017399</v>
      </c>
      <c r="X11" s="157">
        <v>0.20999226516849101</v>
      </c>
      <c r="Y11" s="157">
        <v>0.19923730214434801</v>
      </c>
      <c r="Z11" s="157">
        <v>0.18822929668036301</v>
      </c>
      <c r="AA11" s="157">
        <v>0.178536682314342</v>
      </c>
      <c r="AB11" s="157">
        <v>0.16953102095851699</v>
      </c>
      <c r="AC11" s="157">
        <v>0.161581385106188</v>
      </c>
      <c r="AD11" s="157">
        <v>0.153320655803655</v>
      </c>
      <c r="AE11" s="157">
        <v>0.14603402557728001</v>
      </c>
      <c r="AF11" s="157">
        <v>9.7794384425425096E-2</v>
      </c>
      <c r="AG11" s="157">
        <v>5.7414438866800498E-2</v>
      </c>
      <c r="AH11" s="157">
        <v>0</v>
      </c>
      <c r="AI11" s="157">
        <v>0</v>
      </c>
      <c r="AJ11" s="157">
        <v>0</v>
      </c>
      <c r="AK11" s="156">
        <v>0</v>
      </c>
    </row>
    <row r="12" spans="2:39" x14ac:dyDescent="0.25">
      <c r="B12" s="158" t="s">
        <v>148</v>
      </c>
      <c r="C12" s="157">
        <v>11.2407849767466</v>
      </c>
      <c r="D12" s="157">
        <v>10.591355502493499</v>
      </c>
      <c r="E12" s="157">
        <v>8.3616821529921097</v>
      </c>
      <c r="F12" s="157">
        <v>8.2110886104626193</v>
      </c>
      <c r="G12" s="157">
        <v>7.2407075439260398</v>
      </c>
      <c r="H12" s="157">
        <v>6.3965028786710603</v>
      </c>
      <c r="I12" s="157">
        <v>5.2421757784917702</v>
      </c>
      <c r="J12" s="157">
        <v>5.0628409635789904</v>
      </c>
      <c r="K12" s="157">
        <v>4.4794124092910597</v>
      </c>
      <c r="L12" s="157">
        <v>3.9721249325472598</v>
      </c>
      <c r="M12" s="157">
        <v>0.62537189424085504</v>
      </c>
      <c r="N12" s="157">
        <v>0</v>
      </c>
      <c r="O12" s="157">
        <v>0</v>
      </c>
      <c r="P12" s="157">
        <v>0</v>
      </c>
      <c r="Q12" s="157">
        <v>0</v>
      </c>
      <c r="R12" s="157">
        <v>0</v>
      </c>
      <c r="S12" s="157">
        <v>0</v>
      </c>
      <c r="T12" s="157">
        <v>0</v>
      </c>
      <c r="U12" s="157">
        <v>0</v>
      </c>
      <c r="V12" s="157">
        <v>0</v>
      </c>
      <c r="W12" s="157">
        <v>0</v>
      </c>
      <c r="X12" s="157">
        <v>0</v>
      </c>
      <c r="Y12" s="157">
        <v>0</v>
      </c>
      <c r="Z12" s="157">
        <v>0</v>
      </c>
      <c r="AA12" s="157">
        <v>0</v>
      </c>
      <c r="AB12" s="157">
        <v>0</v>
      </c>
      <c r="AC12" s="157">
        <v>0</v>
      </c>
      <c r="AD12" s="157">
        <v>0</v>
      </c>
      <c r="AE12" s="157">
        <v>0</v>
      </c>
      <c r="AF12" s="157">
        <v>0</v>
      </c>
      <c r="AG12" s="157">
        <v>0</v>
      </c>
      <c r="AH12" s="157">
        <v>0</v>
      </c>
      <c r="AI12" s="157">
        <v>0</v>
      </c>
      <c r="AJ12" s="157">
        <v>0</v>
      </c>
      <c r="AK12" s="156">
        <v>0</v>
      </c>
    </row>
    <row r="13" spans="2:39" x14ac:dyDescent="0.25">
      <c r="B13" s="158" t="s">
        <v>149</v>
      </c>
      <c r="C13" s="157">
        <v>0.94011929944008799</v>
      </c>
      <c r="D13" s="157">
        <v>0.82260438701007699</v>
      </c>
      <c r="E13" s="157">
        <v>0.70508947458006599</v>
      </c>
      <c r="F13" s="157">
        <v>0.58757456215005499</v>
      </c>
      <c r="G13" s="157">
        <v>0.58757456215005499</v>
      </c>
      <c r="H13" s="157">
        <v>0.47005964972004399</v>
      </c>
      <c r="I13" s="157">
        <v>0</v>
      </c>
      <c r="J13" s="157">
        <v>0</v>
      </c>
      <c r="K13" s="157">
        <v>0</v>
      </c>
      <c r="L13" s="157">
        <v>0</v>
      </c>
      <c r="M13" s="157">
        <v>0</v>
      </c>
      <c r="N13" s="157">
        <v>0</v>
      </c>
      <c r="O13" s="157">
        <v>0</v>
      </c>
      <c r="P13" s="157">
        <v>0</v>
      </c>
      <c r="Q13" s="157">
        <v>0</v>
      </c>
      <c r="R13" s="157">
        <v>0</v>
      </c>
      <c r="S13" s="157">
        <v>0</v>
      </c>
      <c r="T13" s="157">
        <v>0</v>
      </c>
      <c r="U13" s="157">
        <v>0</v>
      </c>
      <c r="V13" s="157">
        <v>0</v>
      </c>
      <c r="W13" s="157">
        <v>0</v>
      </c>
      <c r="X13" s="157">
        <v>0</v>
      </c>
      <c r="Y13" s="157">
        <v>0</v>
      </c>
      <c r="Z13" s="157">
        <v>0</v>
      </c>
      <c r="AA13" s="157">
        <v>0</v>
      </c>
      <c r="AB13" s="157">
        <v>0</v>
      </c>
      <c r="AC13" s="157">
        <v>0</v>
      </c>
      <c r="AD13" s="157">
        <v>0</v>
      </c>
      <c r="AE13" s="157">
        <v>0</v>
      </c>
      <c r="AF13" s="157">
        <v>0</v>
      </c>
      <c r="AG13" s="157">
        <v>0</v>
      </c>
      <c r="AH13" s="157">
        <v>0</v>
      </c>
      <c r="AI13" s="157">
        <v>0</v>
      </c>
      <c r="AJ13" s="157">
        <v>0</v>
      </c>
      <c r="AK13" s="156">
        <v>0</v>
      </c>
    </row>
    <row r="14" spans="2:39" x14ac:dyDescent="0.25">
      <c r="B14" s="158" t="s">
        <v>150</v>
      </c>
      <c r="C14" s="157">
        <v>18.505625439621799</v>
      </c>
      <c r="D14" s="157">
        <v>15.9721171949117</v>
      </c>
      <c r="E14" s="157">
        <v>12.5573886911719</v>
      </c>
      <c r="F14" s="157">
        <v>11.4558633673849</v>
      </c>
      <c r="G14" s="157">
        <v>12.006626029278401</v>
      </c>
      <c r="H14" s="157">
        <v>9.2528127198108905</v>
      </c>
      <c r="I14" s="157">
        <v>6.4989994103433597</v>
      </c>
      <c r="J14" s="157">
        <v>3.9654911656332401</v>
      </c>
      <c r="K14" s="157">
        <v>2.42335571233142</v>
      </c>
      <c r="L14" s="157">
        <v>1.9827455828166201</v>
      </c>
      <c r="M14" s="157">
        <v>0</v>
      </c>
      <c r="N14" s="157">
        <v>0</v>
      </c>
      <c r="O14" s="157">
        <v>0</v>
      </c>
      <c r="P14" s="157">
        <v>0</v>
      </c>
      <c r="Q14" s="157">
        <v>0</v>
      </c>
      <c r="R14" s="157">
        <v>0</v>
      </c>
      <c r="S14" s="157">
        <v>0</v>
      </c>
      <c r="T14" s="157">
        <v>0</v>
      </c>
      <c r="U14" s="157">
        <v>0</v>
      </c>
      <c r="V14" s="157">
        <v>0</v>
      </c>
      <c r="W14" s="157">
        <v>0</v>
      </c>
      <c r="X14" s="157">
        <v>0</v>
      </c>
      <c r="Y14" s="157">
        <v>0</v>
      </c>
      <c r="Z14" s="157">
        <v>0</v>
      </c>
      <c r="AA14" s="157">
        <v>0</v>
      </c>
      <c r="AB14" s="157">
        <v>0</v>
      </c>
      <c r="AC14" s="157">
        <v>0</v>
      </c>
      <c r="AD14" s="157">
        <v>0</v>
      </c>
      <c r="AE14" s="157">
        <v>0</v>
      </c>
      <c r="AF14" s="157">
        <v>0</v>
      </c>
      <c r="AG14" s="157">
        <v>0</v>
      </c>
      <c r="AH14" s="157">
        <v>0</v>
      </c>
      <c r="AI14" s="157">
        <v>0</v>
      </c>
      <c r="AJ14" s="157">
        <v>0</v>
      </c>
      <c r="AK14" s="156">
        <v>0</v>
      </c>
    </row>
    <row r="15" spans="2:39" x14ac:dyDescent="0.25">
      <c r="B15" s="158" t="s">
        <v>151</v>
      </c>
      <c r="C15" s="157">
        <v>8.3317958840273896</v>
      </c>
      <c r="D15" s="157">
        <v>0</v>
      </c>
      <c r="E15" s="157">
        <v>0</v>
      </c>
      <c r="F15" s="157">
        <v>0</v>
      </c>
      <c r="G15" s="157">
        <v>0</v>
      </c>
      <c r="H15" s="157">
        <v>0</v>
      </c>
      <c r="I15" s="157">
        <v>0</v>
      </c>
      <c r="J15" s="157">
        <v>0</v>
      </c>
      <c r="K15" s="157">
        <v>0</v>
      </c>
      <c r="L15" s="157">
        <v>0</v>
      </c>
      <c r="M15" s="157">
        <v>0</v>
      </c>
      <c r="N15" s="157">
        <v>0</v>
      </c>
      <c r="O15" s="157">
        <v>0</v>
      </c>
      <c r="P15" s="157">
        <v>0</v>
      </c>
      <c r="Q15" s="157">
        <v>0</v>
      </c>
      <c r="R15" s="157">
        <v>0</v>
      </c>
      <c r="S15" s="157">
        <v>0</v>
      </c>
      <c r="T15" s="157">
        <v>0</v>
      </c>
      <c r="U15" s="157">
        <v>0</v>
      </c>
      <c r="V15" s="157">
        <v>0</v>
      </c>
      <c r="W15" s="157">
        <v>0</v>
      </c>
      <c r="X15" s="157">
        <v>0</v>
      </c>
      <c r="Y15" s="157">
        <v>0</v>
      </c>
      <c r="Z15" s="157">
        <v>0</v>
      </c>
      <c r="AA15" s="157">
        <v>0</v>
      </c>
      <c r="AB15" s="157">
        <v>0</v>
      </c>
      <c r="AC15" s="157">
        <v>0</v>
      </c>
      <c r="AD15" s="157">
        <v>0</v>
      </c>
      <c r="AE15" s="157">
        <v>0</v>
      </c>
      <c r="AF15" s="157">
        <v>0</v>
      </c>
      <c r="AG15" s="157">
        <v>0</v>
      </c>
      <c r="AH15" s="157">
        <v>0</v>
      </c>
      <c r="AI15" s="157">
        <v>0</v>
      </c>
      <c r="AJ15" s="157">
        <v>0</v>
      </c>
      <c r="AK15" s="156">
        <v>0</v>
      </c>
    </row>
    <row r="16" spans="2:39" x14ac:dyDescent="0.25">
      <c r="B16" s="158" t="s">
        <v>152</v>
      </c>
      <c r="C16" s="157">
        <v>0.957564459023864</v>
      </c>
      <c r="D16" s="157">
        <v>0.73661279992864204</v>
      </c>
      <c r="E16" s="157">
        <v>0.58596077441010297</v>
      </c>
      <c r="F16" s="157">
        <v>0.47469221454594102</v>
      </c>
      <c r="G16" s="157">
        <v>0.39332266181081699</v>
      </c>
      <c r="H16" s="157">
        <v>0.114987533315025</v>
      </c>
      <c r="I16" s="157">
        <v>0</v>
      </c>
      <c r="J16" s="157">
        <v>0</v>
      </c>
      <c r="K16" s="157">
        <v>0</v>
      </c>
      <c r="L16" s="157">
        <v>0</v>
      </c>
      <c r="M16" s="157">
        <v>0</v>
      </c>
      <c r="N16" s="157">
        <v>0</v>
      </c>
      <c r="O16" s="157">
        <v>0</v>
      </c>
      <c r="P16" s="157">
        <v>0</v>
      </c>
      <c r="Q16" s="157">
        <v>0</v>
      </c>
      <c r="R16" s="157">
        <v>0</v>
      </c>
      <c r="S16" s="157">
        <v>0</v>
      </c>
      <c r="T16" s="157">
        <v>0</v>
      </c>
      <c r="U16" s="157">
        <v>0</v>
      </c>
      <c r="V16" s="157">
        <v>0</v>
      </c>
      <c r="W16" s="157">
        <v>0</v>
      </c>
      <c r="X16" s="157">
        <v>0</v>
      </c>
      <c r="Y16" s="157">
        <v>0</v>
      </c>
      <c r="Z16" s="157">
        <v>0</v>
      </c>
      <c r="AA16" s="157">
        <v>0</v>
      </c>
      <c r="AB16" s="157">
        <v>0</v>
      </c>
      <c r="AC16" s="157">
        <v>0</v>
      </c>
      <c r="AD16" s="157">
        <v>0</v>
      </c>
      <c r="AE16" s="157">
        <v>0</v>
      </c>
      <c r="AF16" s="157">
        <v>0</v>
      </c>
      <c r="AG16" s="157">
        <v>0</v>
      </c>
      <c r="AH16" s="157">
        <v>0</v>
      </c>
      <c r="AI16" s="157">
        <v>0</v>
      </c>
      <c r="AJ16" s="157">
        <v>0</v>
      </c>
      <c r="AK16" s="156">
        <v>0</v>
      </c>
    </row>
    <row r="17" spans="2:37" x14ac:dyDescent="0.25">
      <c r="B17" s="158" t="s">
        <v>153</v>
      </c>
      <c r="C17" s="157">
        <v>11.840406140868501</v>
      </c>
      <c r="D17" s="157">
        <v>10.1991617253026</v>
      </c>
      <c r="E17" s="157">
        <v>7.5028316140156699</v>
      </c>
      <c r="F17" s="157">
        <v>5.7443554544807496</v>
      </c>
      <c r="G17" s="157">
        <v>4.9237332466977897</v>
      </c>
      <c r="H17" s="157">
        <v>4.3375745268528103</v>
      </c>
      <c r="I17" s="157">
        <v>3.6341840630388398</v>
      </c>
      <c r="J17" s="157">
        <v>3.16525708716286</v>
      </c>
      <c r="K17" s="157">
        <v>0</v>
      </c>
      <c r="L17" s="157">
        <v>0</v>
      </c>
      <c r="M17" s="157">
        <v>0</v>
      </c>
      <c r="N17" s="157">
        <v>0</v>
      </c>
      <c r="O17" s="157">
        <v>0</v>
      </c>
      <c r="P17" s="157">
        <v>0</v>
      </c>
      <c r="Q17" s="157">
        <v>0</v>
      </c>
      <c r="R17" s="157">
        <v>0</v>
      </c>
      <c r="S17" s="157">
        <v>0</v>
      </c>
      <c r="T17" s="157">
        <v>0</v>
      </c>
      <c r="U17" s="157">
        <v>0</v>
      </c>
      <c r="V17" s="157">
        <v>0</v>
      </c>
      <c r="W17" s="157">
        <v>0</v>
      </c>
      <c r="X17" s="157">
        <v>0</v>
      </c>
      <c r="Y17" s="157">
        <v>0</v>
      </c>
      <c r="Z17" s="157">
        <v>0</v>
      </c>
      <c r="AA17" s="157">
        <v>0</v>
      </c>
      <c r="AB17" s="157">
        <v>0</v>
      </c>
      <c r="AC17" s="157">
        <v>0</v>
      </c>
      <c r="AD17" s="157">
        <v>0</v>
      </c>
      <c r="AE17" s="157">
        <v>0</v>
      </c>
      <c r="AF17" s="157">
        <v>0</v>
      </c>
      <c r="AG17" s="157">
        <v>0</v>
      </c>
      <c r="AH17" s="157">
        <v>0</v>
      </c>
      <c r="AI17" s="157">
        <v>0</v>
      </c>
      <c r="AJ17" s="157">
        <v>0</v>
      </c>
      <c r="AK17" s="156">
        <v>0</v>
      </c>
    </row>
    <row r="18" spans="2:37" x14ac:dyDescent="0.25">
      <c r="B18" s="158" t="s">
        <v>154</v>
      </c>
      <c r="C18" s="157">
        <v>0</v>
      </c>
      <c r="D18" s="157">
        <v>0</v>
      </c>
      <c r="E18" s="157">
        <v>0</v>
      </c>
      <c r="F18" s="157">
        <v>0</v>
      </c>
      <c r="G18" s="157">
        <v>0</v>
      </c>
      <c r="H18" s="157">
        <v>0</v>
      </c>
      <c r="I18" s="157">
        <v>0.36051105903609099</v>
      </c>
      <c r="J18" s="157">
        <v>0.71514422037050596</v>
      </c>
      <c r="K18" s="157">
        <v>0.71514422037050596</v>
      </c>
      <c r="L18" s="157">
        <v>0.70629331748666901</v>
      </c>
      <c r="M18" s="157">
        <v>0.59888353140816097</v>
      </c>
      <c r="N18" s="157">
        <v>0.48994424315429302</v>
      </c>
      <c r="O18" s="157">
        <v>0.40993921012005002</v>
      </c>
      <c r="P18" s="157">
        <v>0.34851703547672203</v>
      </c>
      <c r="Q18" s="157">
        <v>0.30104054419457499</v>
      </c>
      <c r="R18" s="157">
        <v>0.26155635152288398</v>
      </c>
      <c r="S18" s="157">
        <v>0.23014222696178099</v>
      </c>
      <c r="T18" s="157">
        <v>0.20421416676014401</v>
      </c>
      <c r="U18" s="157">
        <v>0.18302345662316299</v>
      </c>
      <c r="V18" s="157">
        <v>0.16420542217919901</v>
      </c>
      <c r="W18" s="157">
        <v>0.148608321745376</v>
      </c>
      <c r="X18" s="157">
        <v>0.135193612554207</v>
      </c>
      <c r="Y18" s="157">
        <v>0.123891115606129</v>
      </c>
      <c r="Z18" s="157">
        <v>0.113394480879527</v>
      </c>
      <c r="AA18" s="157">
        <v>0.104486602348717</v>
      </c>
      <c r="AB18" s="157">
        <v>9.6618475601466206E-2</v>
      </c>
      <c r="AC18" s="157">
        <v>4.8470169970923398E-2</v>
      </c>
      <c r="AD18" s="157">
        <v>0</v>
      </c>
      <c r="AE18" s="157">
        <v>0</v>
      </c>
      <c r="AF18" s="157">
        <v>0</v>
      </c>
      <c r="AG18" s="157">
        <v>0</v>
      </c>
      <c r="AH18" s="157">
        <v>0</v>
      </c>
      <c r="AI18" s="157">
        <v>0</v>
      </c>
      <c r="AJ18" s="157">
        <v>0</v>
      </c>
      <c r="AK18" s="156">
        <v>0</v>
      </c>
    </row>
    <row r="19" spans="2:37" x14ac:dyDescent="0.25">
      <c r="B19" s="158" t="s">
        <v>155</v>
      </c>
      <c r="C19" s="157">
        <v>1.1666540704227201E-5</v>
      </c>
      <c r="D19" s="157">
        <v>1.1666540704227201E-5</v>
      </c>
      <c r="E19" s="157">
        <v>1.1666540704227201E-5</v>
      </c>
      <c r="F19" s="157">
        <v>1.1666540704227201E-5</v>
      </c>
      <c r="G19" s="157">
        <v>1.1666540704227201E-5</v>
      </c>
      <c r="H19" s="157">
        <v>1.1666540704227201E-5</v>
      </c>
      <c r="I19" s="157">
        <v>1.1666540704227201E-5</v>
      </c>
      <c r="J19" s="157">
        <v>0</v>
      </c>
      <c r="K19" s="157">
        <v>0</v>
      </c>
      <c r="L19" s="157">
        <v>0</v>
      </c>
      <c r="M19" s="157">
        <v>0</v>
      </c>
      <c r="N19" s="157">
        <v>0</v>
      </c>
      <c r="O19" s="157">
        <v>0</v>
      </c>
      <c r="P19" s="157">
        <v>0</v>
      </c>
      <c r="Q19" s="157">
        <v>0</v>
      </c>
      <c r="R19" s="157">
        <v>0</v>
      </c>
      <c r="S19" s="157">
        <v>0</v>
      </c>
      <c r="T19" s="157">
        <v>0</v>
      </c>
      <c r="U19" s="157">
        <v>0</v>
      </c>
      <c r="V19" s="157">
        <v>0</v>
      </c>
      <c r="W19" s="157">
        <v>0</v>
      </c>
      <c r="X19" s="157">
        <v>0</v>
      </c>
      <c r="Y19" s="157">
        <v>0</v>
      </c>
      <c r="Z19" s="157">
        <v>0</v>
      </c>
      <c r="AA19" s="157">
        <v>0</v>
      </c>
      <c r="AB19" s="157">
        <v>0</v>
      </c>
      <c r="AC19" s="157">
        <v>0</v>
      </c>
      <c r="AD19" s="157">
        <v>0</v>
      </c>
      <c r="AE19" s="157">
        <v>0</v>
      </c>
      <c r="AF19" s="157">
        <v>0</v>
      </c>
      <c r="AG19" s="157">
        <v>0</v>
      </c>
      <c r="AH19" s="157">
        <v>0</v>
      </c>
      <c r="AI19" s="157">
        <v>0</v>
      </c>
      <c r="AJ19" s="157">
        <v>0</v>
      </c>
      <c r="AK19" s="156">
        <v>0</v>
      </c>
    </row>
    <row r="20" spans="2:37" x14ac:dyDescent="0.25">
      <c r="B20" s="158" t="s">
        <v>156</v>
      </c>
      <c r="C20" s="157">
        <v>1.69209275367211E-2</v>
      </c>
      <c r="D20" s="157">
        <v>9.5131731493370997E-3</v>
      </c>
      <c r="E20" s="157">
        <v>2.8272883038932398E-3</v>
      </c>
      <c r="F20" s="157">
        <v>0</v>
      </c>
      <c r="G20" s="157">
        <v>3.7789823914578601E-2</v>
      </c>
      <c r="H20" s="157">
        <v>3.3615947393293301E-2</v>
      </c>
      <c r="I20" s="157">
        <v>5.9204040895154599E-3</v>
      </c>
      <c r="J20" s="157">
        <v>0</v>
      </c>
      <c r="K20" s="157">
        <v>0</v>
      </c>
      <c r="L20" s="157">
        <v>0</v>
      </c>
      <c r="M20" s="157">
        <v>0</v>
      </c>
      <c r="N20" s="157">
        <v>0</v>
      </c>
      <c r="O20" s="157">
        <v>0</v>
      </c>
      <c r="P20" s="157">
        <v>0</v>
      </c>
      <c r="Q20" s="157">
        <v>0</v>
      </c>
      <c r="R20" s="157">
        <v>0</v>
      </c>
      <c r="S20" s="157">
        <v>0</v>
      </c>
      <c r="T20" s="157">
        <v>0</v>
      </c>
      <c r="U20" s="157">
        <v>0</v>
      </c>
      <c r="V20" s="157">
        <v>0</v>
      </c>
      <c r="W20" s="157">
        <v>0</v>
      </c>
      <c r="X20" s="157">
        <v>0</v>
      </c>
      <c r="Y20" s="157">
        <v>0</v>
      </c>
      <c r="Z20" s="157">
        <v>0</v>
      </c>
      <c r="AA20" s="157">
        <v>0</v>
      </c>
      <c r="AB20" s="157">
        <v>0</v>
      </c>
      <c r="AC20" s="157">
        <v>0</v>
      </c>
      <c r="AD20" s="157">
        <v>0</v>
      </c>
      <c r="AE20" s="157">
        <v>0</v>
      </c>
      <c r="AF20" s="157">
        <v>0</v>
      </c>
      <c r="AG20" s="157">
        <v>0</v>
      </c>
      <c r="AH20" s="157">
        <v>0</v>
      </c>
      <c r="AI20" s="157">
        <v>0</v>
      </c>
      <c r="AJ20" s="157">
        <v>0</v>
      </c>
      <c r="AK20" s="156">
        <v>0</v>
      </c>
    </row>
    <row r="21" spans="2:37" x14ac:dyDescent="0.25">
      <c r="B21" s="158" t="s">
        <v>159</v>
      </c>
      <c r="C21" s="157">
        <v>20.863923001036401</v>
      </c>
      <c r="D21" s="157">
        <v>21.662720031179902</v>
      </c>
      <c r="E21" s="157">
        <v>23.498766566446299</v>
      </c>
      <c r="F21" s="157">
        <v>23.3809789039828</v>
      </c>
      <c r="G21" s="157">
        <v>23.083713049613401</v>
      </c>
      <c r="H21" s="157">
        <v>23.3464075149286</v>
      </c>
      <c r="I21" s="157">
        <v>23.458039779238899</v>
      </c>
      <c r="J21" s="157">
        <v>23.112690813445901</v>
      </c>
      <c r="K21" s="157">
        <v>23.306747714194699</v>
      </c>
      <c r="L21" s="157">
        <v>23.118851920162001</v>
      </c>
      <c r="M21" s="157">
        <v>21.603833504391901</v>
      </c>
      <c r="N21" s="157">
        <v>19.5713533156237</v>
      </c>
      <c r="O21" s="157">
        <v>17.231317387548099</v>
      </c>
      <c r="P21" s="157">
        <v>14.0070672017379</v>
      </c>
      <c r="Q21" s="157">
        <v>11.6431292002228</v>
      </c>
      <c r="R21" s="157">
        <v>9.9023254333645099</v>
      </c>
      <c r="S21" s="157">
        <v>8.5665766204402392</v>
      </c>
      <c r="T21" s="157">
        <v>7.5281875191261198</v>
      </c>
      <c r="U21" s="157">
        <v>6.7047961041360802</v>
      </c>
      <c r="V21" s="157">
        <v>5.9292927919404397</v>
      </c>
      <c r="W21" s="157">
        <v>5.2767318121142903</v>
      </c>
      <c r="X21" s="157">
        <v>4.7443021973274098</v>
      </c>
      <c r="Y21" s="157">
        <v>4.2530491312932597</v>
      </c>
      <c r="Z21" s="157">
        <v>3.84472422555088</v>
      </c>
      <c r="AA21" s="157">
        <v>3.4439559802645801</v>
      </c>
      <c r="AB21" s="157">
        <v>3.17144578050535</v>
      </c>
      <c r="AC21" s="157">
        <v>2.8521826388525899</v>
      </c>
      <c r="AD21" s="157">
        <v>2.1954039999664898</v>
      </c>
      <c r="AE21" s="157">
        <v>0.17461815706481201</v>
      </c>
      <c r="AF21" s="157">
        <v>0</v>
      </c>
      <c r="AG21" s="157">
        <v>0</v>
      </c>
      <c r="AH21" s="157">
        <v>0</v>
      </c>
      <c r="AI21" s="157">
        <v>0</v>
      </c>
      <c r="AJ21" s="157">
        <v>0</v>
      </c>
      <c r="AK21" s="156">
        <v>0</v>
      </c>
    </row>
    <row r="22" spans="2:37" x14ac:dyDescent="0.25">
      <c r="B22" s="158" t="s">
        <v>160</v>
      </c>
      <c r="C22" s="157">
        <v>0.146337478668981</v>
      </c>
      <c r="D22" s="157">
        <v>0.135356961637315</v>
      </c>
      <c r="E22" s="157">
        <v>0.125200374311812</v>
      </c>
      <c r="F22" s="157">
        <v>0.115805892317906</v>
      </c>
      <c r="G22" s="157">
        <v>0.10711633157397001</v>
      </c>
      <c r="H22" s="157">
        <v>9.9078796075058206E-2</v>
      </c>
      <c r="I22" s="157">
        <v>9.1644361106681199E-2</v>
      </c>
      <c r="J22" s="157">
        <v>8.4767774173600902E-2</v>
      </c>
      <c r="K22" s="157">
        <v>7.8407175727764997E-2</v>
      </c>
      <c r="L22" s="157">
        <v>7.2523848031860294E-2</v>
      </c>
      <c r="M22" s="157">
        <v>6.7081979653764098E-2</v>
      </c>
      <c r="N22" s="157">
        <v>6.2048444549836303E-2</v>
      </c>
      <c r="O22" s="157">
        <v>5.7392604073528801E-2</v>
      </c>
      <c r="P22" s="157">
        <v>5.3086117320475898E-2</v>
      </c>
      <c r="Q22" s="157">
        <v>4.9102770230662597E-2</v>
      </c>
      <c r="R22" s="157">
        <v>4.5418316153253001E-2</v>
      </c>
      <c r="S22" s="157">
        <v>4.2010325789958003E-2</v>
      </c>
      <c r="T22" s="157">
        <v>3.8858056937541803E-2</v>
      </c>
      <c r="U22" s="157">
        <v>3.5942321104149098E-2</v>
      </c>
      <c r="V22" s="157">
        <v>3.3245367840650498E-2</v>
      </c>
      <c r="W22" s="157">
        <v>3.0750782618768398E-2</v>
      </c>
      <c r="X22" s="157">
        <v>2.8443380540961901E-2</v>
      </c>
      <c r="Y22" s="157">
        <v>2.6309114639151698E-2</v>
      </c>
      <c r="Z22" s="157">
        <v>2.4334995636104299E-2</v>
      </c>
      <c r="AA22" s="157">
        <v>2.2509005454456402E-2</v>
      </c>
      <c r="AB22" s="157">
        <v>2.0820028440758299E-2</v>
      </c>
      <c r="AC22" s="157">
        <v>1.92577857156974E-2</v>
      </c>
      <c r="AD22" s="157">
        <v>1.7812767440201702E-2</v>
      </c>
      <c r="AE22" s="157">
        <v>1.6476175502142601E-2</v>
      </c>
      <c r="AF22" s="157">
        <v>1.52398766236375E-2</v>
      </c>
      <c r="AG22" s="157">
        <v>1.4096344005692501E-2</v>
      </c>
      <c r="AH22" s="157">
        <v>1.3038616687864799E-2</v>
      </c>
      <c r="AI22" s="157">
        <v>1.20602568238047E-2</v>
      </c>
      <c r="AJ22" s="157">
        <v>1.1155307998857901E-2</v>
      </c>
      <c r="AK22" s="156">
        <v>1.0318262926206899E-2</v>
      </c>
    </row>
    <row r="23" spans="2:37" x14ac:dyDescent="0.25">
      <c r="B23" s="161" t="s">
        <v>169</v>
      </c>
      <c r="C23" s="159">
        <v>85.287706371919597</v>
      </c>
      <c r="D23" s="159">
        <v>71.6696982782926</v>
      </c>
      <c r="E23" s="159">
        <v>65.079970691202604</v>
      </c>
      <c r="F23" s="159">
        <v>61.6983539224723</v>
      </c>
      <c r="G23" s="159">
        <v>58.668063702046197</v>
      </c>
      <c r="H23" s="159">
        <v>53.187436952350502</v>
      </c>
      <c r="I23" s="159">
        <v>47.444596546866897</v>
      </c>
      <c r="J23" s="159">
        <v>42.941634742946803</v>
      </c>
      <c r="K23" s="159">
        <v>37.243814383862102</v>
      </c>
      <c r="L23" s="159">
        <v>35.831999225965397</v>
      </c>
      <c r="M23" s="159">
        <v>28.169631211925299</v>
      </c>
      <c r="N23" s="159">
        <v>22.334638521018999</v>
      </c>
      <c r="O23" s="159">
        <v>20.204830992361199</v>
      </c>
      <c r="P23" s="159">
        <v>16.7751354342656</v>
      </c>
      <c r="Q23" s="159">
        <v>14.120106068372399</v>
      </c>
      <c r="R23" s="159">
        <v>12.1740744883045</v>
      </c>
      <c r="S23" s="159">
        <v>10.6243407826784</v>
      </c>
      <c r="T23" s="159">
        <v>9.3840423373398494</v>
      </c>
      <c r="U23" s="159">
        <v>8.3927147983715802</v>
      </c>
      <c r="V23" s="159">
        <v>7.4633921045749902</v>
      </c>
      <c r="W23" s="159">
        <v>6.6820285489261497</v>
      </c>
      <c r="X23" s="159">
        <v>6.0362704842109798</v>
      </c>
      <c r="Y23" s="159">
        <v>4.6816371524076903</v>
      </c>
      <c r="Z23" s="159">
        <v>4.17582157191916</v>
      </c>
      <c r="AA23" s="159">
        <v>3.7546268435543801</v>
      </c>
      <c r="AB23" s="159">
        <v>3.4635538786783799</v>
      </c>
      <c r="AC23" s="159">
        <v>3.0866305528176898</v>
      </c>
      <c r="AD23" s="159">
        <v>2.3716759963826299</v>
      </c>
      <c r="AE23" s="159">
        <v>0.33712835814423497</v>
      </c>
      <c r="AF23" s="159">
        <v>0.113034261049063</v>
      </c>
      <c r="AG23" s="159">
        <v>7.1510782872493003E-2</v>
      </c>
      <c r="AH23" s="159">
        <v>1.3038616687864799E-2</v>
      </c>
      <c r="AI23" s="159">
        <v>1.20602568238047E-2</v>
      </c>
      <c r="AJ23" s="159">
        <v>1.1155307998857901E-2</v>
      </c>
      <c r="AK23" s="160">
        <v>1.0318262926206899E-2</v>
      </c>
    </row>
  </sheetData>
  <mergeCells count="1">
    <mergeCell ref="B2:M2"/>
  </mergeCells>
  <pageMargins left="0.05" right="0.05" top="0.5" bottom="0.5" header="0" footer="0"/>
  <pageSetup paperSize="8"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603F99"/>
    <pageSetUpPr fitToPage="1"/>
  </sheetPr>
  <dimension ref="B2:AM9"/>
  <sheetViews>
    <sheetView showGridLines="0" zoomScale="85" zoomScaleNormal="85" zoomScalePageLayoutView="85" workbookViewId="0">
      <pane xSplit="2" topLeftCell="C1" activePane="topRight" state="frozen"/>
      <selection activeCell="A4" sqref="A4"/>
      <selection pane="topRight"/>
    </sheetView>
  </sheetViews>
  <sheetFormatPr defaultColWidth="11.42578125" defaultRowHeight="15" x14ac:dyDescent="0.25"/>
  <cols>
    <col min="1" max="1" width="10.140625" customWidth="1"/>
    <col min="2" max="2" width="36" customWidth="1"/>
    <col min="3" max="38" width="10.5703125" customWidth="1"/>
  </cols>
  <sheetData>
    <row r="2" spans="2:39" ht="41.25" customHeight="1" x14ac:dyDescent="0.35">
      <c r="B2" s="274" t="s">
        <v>113</v>
      </c>
      <c r="C2" s="242"/>
      <c r="D2" s="242"/>
      <c r="E2" s="242"/>
      <c r="F2" s="242"/>
      <c r="G2" s="242"/>
      <c r="H2" s="242"/>
      <c r="I2" s="242"/>
      <c r="J2" s="242"/>
      <c r="K2" s="242"/>
      <c r="L2" s="242"/>
      <c r="M2" s="242"/>
    </row>
    <row r="4" spans="2:39" ht="17.100000000000001" customHeight="1" x14ac:dyDescent="0.25">
      <c r="B4" s="173" t="s">
        <v>179</v>
      </c>
      <c r="C4" s="171" t="s">
        <v>180</v>
      </c>
      <c r="D4" s="171" t="s">
        <v>181</v>
      </c>
      <c r="E4" s="171" t="s">
        <v>182</v>
      </c>
      <c r="F4" s="171" t="s">
        <v>183</v>
      </c>
      <c r="G4" s="171" t="s">
        <v>184</v>
      </c>
      <c r="H4" s="171" t="s">
        <v>185</v>
      </c>
      <c r="I4" s="171" t="s">
        <v>186</v>
      </c>
      <c r="J4" s="171" t="s">
        <v>187</v>
      </c>
      <c r="K4" s="171" t="s">
        <v>188</v>
      </c>
      <c r="L4" s="171" t="s">
        <v>189</v>
      </c>
      <c r="M4" s="172" t="s">
        <v>190</v>
      </c>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row>
    <row r="5" spans="2:39" x14ac:dyDescent="0.25">
      <c r="B5" s="167" t="s">
        <v>144</v>
      </c>
      <c r="C5" s="166">
        <v>1.393021413</v>
      </c>
      <c r="D5" s="166">
        <v>1.2495418780000001</v>
      </c>
      <c r="E5" s="166">
        <v>1.1052198725</v>
      </c>
      <c r="F5" s="166">
        <v>1.1609978679999999</v>
      </c>
      <c r="G5" s="166">
        <v>0.97801804550000004</v>
      </c>
      <c r="H5" s="166">
        <v>0.83577399299999999</v>
      </c>
      <c r="I5" s="166">
        <v>0.74745717450000004</v>
      </c>
      <c r="J5" s="166">
        <v>0.61987709550000003</v>
      </c>
      <c r="K5" s="166">
        <v>0.56514341400000001</v>
      </c>
      <c r="L5" s="166">
        <v>0.4932588638</v>
      </c>
      <c r="M5" s="165">
        <v>0.42051927369999997</v>
      </c>
    </row>
    <row r="6" spans="2:39" x14ac:dyDescent="0.25">
      <c r="B6" s="167" t="s">
        <v>148</v>
      </c>
      <c r="C6" s="166">
        <v>2.4350955562390699</v>
      </c>
      <c r="D6" s="166">
        <v>2.2944094004007298</v>
      </c>
      <c r="E6" s="166">
        <v>1.8113944083345801</v>
      </c>
      <c r="F6" s="166">
        <v>1.7787712716645501</v>
      </c>
      <c r="G6" s="166">
        <v>1.5685572493962201</v>
      </c>
      <c r="H6" s="166">
        <v>1.3856768691827901</v>
      </c>
      <c r="I6" s="166">
        <v>1.1356145472638699</v>
      </c>
      <c r="J6" s="166">
        <v>1.09676517752449</v>
      </c>
      <c r="K6" s="166">
        <v>0.97037682626523702</v>
      </c>
      <c r="L6" s="166">
        <v>0.86048294609454101</v>
      </c>
      <c r="M6" s="165">
        <v>0.13547455305401199</v>
      </c>
    </row>
    <row r="7" spans="2:39" x14ac:dyDescent="0.25">
      <c r="B7" s="167" t="s">
        <v>150</v>
      </c>
      <c r="C7" s="166">
        <v>0.47849999999999998</v>
      </c>
      <c r="D7" s="166">
        <v>0.41249999999999998</v>
      </c>
      <c r="E7" s="166">
        <v>0.32450000000000001</v>
      </c>
      <c r="F7" s="166">
        <v>0</v>
      </c>
      <c r="G7" s="166">
        <v>0</v>
      </c>
      <c r="H7" s="166">
        <v>0</v>
      </c>
      <c r="I7" s="166">
        <v>0</v>
      </c>
      <c r="J7" s="166">
        <v>0</v>
      </c>
      <c r="K7" s="166">
        <v>0</v>
      </c>
      <c r="L7" s="166">
        <v>0</v>
      </c>
      <c r="M7" s="165">
        <v>0</v>
      </c>
    </row>
    <row r="8" spans="2:39" x14ac:dyDescent="0.25">
      <c r="B8" s="167" t="s">
        <v>151</v>
      </c>
      <c r="C8" s="166">
        <v>0.32249</v>
      </c>
      <c r="D8" s="166">
        <v>0</v>
      </c>
      <c r="E8" s="166">
        <v>0</v>
      </c>
      <c r="F8" s="166">
        <v>0</v>
      </c>
      <c r="G8" s="166">
        <v>0</v>
      </c>
      <c r="H8" s="166">
        <v>0</v>
      </c>
      <c r="I8" s="166">
        <v>0</v>
      </c>
      <c r="J8" s="166">
        <v>0</v>
      </c>
      <c r="K8" s="166">
        <v>0</v>
      </c>
      <c r="L8" s="166">
        <v>0</v>
      </c>
      <c r="M8" s="165">
        <v>0</v>
      </c>
    </row>
    <row r="9" spans="2:39" x14ac:dyDescent="0.25">
      <c r="B9" s="170" t="s">
        <v>169</v>
      </c>
      <c r="C9" s="168">
        <v>4.6291069692390696</v>
      </c>
      <c r="D9" s="168">
        <v>3.95645127840073</v>
      </c>
      <c r="E9" s="168">
        <v>3.2411142808345801</v>
      </c>
      <c r="F9" s="168">
        <v>2.9397691396645498</v>
      </c>
      <c r="G9" s="168">
        <v>2.5465752948962201</v>
      </c>
      <c r="H9" s="168">
        <v>2.22145086218279</v>
      </c>
      <c r="I9" s="168">
        <v>1.8830717217638699</v>
      </c>
      <c r="J9" s="168">
        <v>1.7166422730244899</v>
      </c>
      <c r="K9" s="168">
        <v>1.5355202402652399</v>
      </c>
      <c r="L9" s="168">
        <v>1.35374180989454</v>
      </c>
      <c r="M9" s="169">
        <v>0.55599382675401199</v>
      </c>
    </row>
  </sheetData>
  <mergeCells count="1">
    <mergeCell ref="B2:M2"/>
  </mergeCells>
  <pageMargins left="0.05" right="0.05" top="0.5" bottom="0.5" header="0" footer="0"/>
  <pageSetup paperSize="8"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11C4E"/>
  </sheetPr>
  <dimension ref="A1:U47"/>
  <sheetViews>
    <sheetView showGridLines="0" workbookViewId="0"/>
  </sheetViews>
  <sheetFormatPr defaultColWidth="11.42578125" defaultRowHeight="15" x14ac:dyDescent="0.25"/>
  <sheetData>
    <row r="1" spans="1:21" x14ac:dyDescent="0.25">
      <c r="A1" s="9"/>
      <c r="B1" s="9"/>
      <c r="C1" s="9"/>
      <c r="D1" s="9"/>
      <c r="E1" s="9"/>
      <c r="F1" s="9"/>
      <c r="G1" s="9"/>
      <c r="H1" s="9"/>
      <c r="I1" s="9"/>
      <c r="J1" s="9"/>
      <c r="K1" s="9"/>
      <c r="L1" s="9"/>
      <c r="M1" s="9"/>
      <c r="N1" s="9"/>
      <c r="O1" s="9"/>
      <c r="P1" s="9"/>
      <c r="Q1" s="9"/>
      <c r="R1" s="9"/>
      <c r="S1" s="9"/>
    </row>
    <row r="2" spans="1:21" ht="21" customHeight="1" x14ac:dyDescent="0.35">
      <c r="A2" s="9"/>
      <c r="B2" s="5" t="s">
        <v>87</v>
      </c>
      <c r="C2" s="9"/>
      <c r="D2" s="9"/>
      <c r="E2" s="9"/>
      <c r="F2" s="9"/>
      <c r="G2" s="9"/>
      <c r="H2" s="9"/>
      <c r="I2" s="9"/>
      <c r="J2" s="9"/>
      <c r="K2" s="9"/>
      <c r="L2" s="9"/>
      <c r="M2" s="9"/>
      <c r="N2" s="9"/>
      <c r="O2" s="9"/>
      <c r="P2" s="9"/>
      <c r="Q2" s="9"/>
      <c r="R2" s="9"/>
      <c r="S2" s="9"/>
    </row>
    <row r="3" spans="1:21" x14ac:dyDescent="0.25">
      <c r="A3" s="9"/>
      <c r="B3" s="9"/>
      <c r="C3" s="9"/>
      <c r="D3" s="9"/>
      <c r="E3" s="9"/>
      <c r="F3" s="9"/>
      <c r="G3" s="9"/>
      <c r="H3" s="9"/>
      <c r="I3" s="9"/>
      <c r="J3" s="9"/>
      <c r="K3" s="9"/>
      <c r="L3" s="9"/>
      <c r="M3" s="9"/>
      <c r="N3" s="9"/>
      <c r="O3" s="9"/>
      <c r="P3" s="9"/>
      <c r="Q3" s="9"/>
      <c r="R3" s="9"/>
      <c r="S3" s="9"/>
    </row>
    <row r="4" spans="1:21" ht="18.75" customHeight="1" x14ac:dyDescent="0.3">
      <c r="A4" s="9"/>
      <c r="B4" s="12" t="s">
        <v>90</v>
      </c>
      <c r="C4" s="9"/>
      <c r="D4" s="9"/>
      <c r="E4" s="9"/>
      <c r="F4" s="9"/>
      <c r="G4" s="9"/>
      <c r="H4" s="9"/>
      <c r="I4" s="9"/>
      <c r="J4" s="9"/>
      <c r="K4" s="9"/>
      <c r="L4" s="9"/>
      <c r="M4" s="9"/>
      <c r="N4" s="9"/>
      <c r="O4" s="9"/>
      <c r="P4" s="9"/>
      <c r="Q4" s="9"/>
      <c r="R4" s="9"/>
      <c r="S4" s="9"/>
    </row>
    <row r="5" spans="1:21" ht="105.75" customHeight="1" x14ac:dyDescent="0.25">
      <c r="A5" s="9"/>
      <c r="B5" s="240" t="s">
        <v>91</v>
      </c>
      <c r="C5" s="240"/>
      <c r="D5" s="240"/>
      <c r="E5" s="240"/>
      <c r="F5" s="240"/>
      <c r="G5" s="240"/>
      <c r="H5" s="240"/>
      <c r="I5" s="240"/>
      <c r="J5" s="240"/>
      <c r="K5" s="240"/>
      <c r="L5" s="240"/>
      <c r="M5" s="240"/>
      <c r="N5" s="240"/>
      <c r="O5" s="240"/>
      <c r="P5" s="240"/>
      <c r="Q5" s="3"/>
      <c r="R5" s="3"/>
      <c r="S5" s="3"/>
      <c r="T5" s="3"/>
      <c r="U5" s="3"/>
    </row>
    <row r="6" spans="1:21" x14ac:dyDescent="0.25">
      <c r="A6" s="9"/>
      <c r="B6" s="10"/>
      <c r="C6" s="11"/>
      <c r="D6" s="11"/>
      <c r="E6" s="11"/>
      <c r="F6" s="11"/>
      <c r="G6" s="11"/>
      <c r="H6" s="11"/>
      <c r="I6" s="11"/>
      <c r="J6" s="11"/>
      <c r="K6" s="11"/>
      <c r="L6" s="11"/>
      <c r="M6" s="11"/>
      <c r="N6" s="11"/>
      <c r="O6" s="11"/>
      <c r="P6" s="11"/>
      <c r="Q6" s="11"/>
      <c r="R6" s="11"/>
      <c r="S6" s="11"/>
      <c r="T6" s="11"/>
      <c r="U6" s="11"/>
    </row>
    <row r="7" spans="1:21" x14ac:dyDescent="0.25">
      <c r="A7" s="9"/>
      <c r="B7" s="10"/>
      <c r="C7" s="11"/>
      <c r="D7" s="11"/>
      <c r="E7" s="11"/>
      <c r="F7" s="11"/>
      <c r="G7" s="11"/>
      <c r="H7" s="11"/>
      <c r="I7" s="11"/>
      <c r="J7" s="11"/>
      <c r="K7" s="11"/>
      <c r="L7" s="11"/>
      <c r="M7" s="11"/>
      <c r="N7" s="11"/>
      <c r="O7" s="11"/>
      <c r="P7" s="11"/>
      <c r="Q7" s="11"/>
      <c r="R7" s="11"/>
      <c r="S7" s="11"/>
      <c r="T7" s="11"/>
      <c r="U7" s="11"/>
    </row>
    <row r="8" spans="1:21" ht="18.75" customHeight="1" x14ac:dyDescent="0.3">
      <c r="A8" s="9"/>
      <c r="B8" s="12" t="s">
        <v>65</v>
      </c>
      <c r="C8" s="9"/>
      <c r="D8" s="9"/>
      <c r="E8" s="9"/>
      <c r="F8" s="9"/>
      <c r="G8" s="9"/>
      <c r="H8" s="9"/>
      <c r="I8" s="9"/>
      <c r="J8" s="9"/>
      <c r="K8" s="9"/>
      <c r="L8" s="9"/>
      <c r="M8" s="9"/>
      <c r="N8" s="9"/>
      <c r="O8" s="9"/>
      <c r="P8" s="9"/>
      <c r="Q8" s="9"/>
      <c r="R8" s="9"/>
      <c r="S8" s="9"/>
      <c r="T8" s="9"/>
      <c r="U8" s="9"/>
    </row>
    <row r="9" spans="1:21" x14ac:dyDescent="0.25">
      <c r="A9" s="9"/>
      <c r="B9" s="239" t="s">
        <v>92</v>
      </c>
      <c r="C9" s="239"/>
      <c r="D9" s="239"/>
      <c r="E9" s="239"/>
      <c r="F9" s="239"/>
      <c r="G9" s="239"/>
      <c r="H9" s="239"/>
      <c r="I9" s="239"/>
      <c r="J9" s="239"/>
      <c r="K9" s="239"/>
      <c r="L9" s="239"/>
      <c r="M9" s="239"/>
      <c r="N9" s="239"/>
      <c r="O9" s="239"/>
      <c r="P9" s="239"/>
      <c r="Q9" s="9"/>
      <c r="R9" s="9"/>
      <c r="S9" s="9"/>
      <c r="T9" s="9"/>
      <c r="U9" s="9"/>
    </row>
    <row r="10" spans="1:21" x14ac:dyDescent="0.25">
      <c r="A10" s="9"/>
      <c r="B10" s="239" t="s">
        <v>66</v>
      </c>
      <c r="C10" s="239"/>
      <c r="D10" s="239"/>
      <c r="E10" s="239"/>
      <c r="F10" s="239"/>
      <c r="G10" s="239"/>
      <c r="H10" s="239"/>
      <c r="I10" s="239"/>
      <c r="J10" s="239"/>
      <c r="K10" s="239"/>
      <c r="L10" s="239"/>
      <c r="M10" s="239"/>
      <c r="N10" s="239"/>
      <c r="O10" s="239"/>
      <c r="P10" s="239"/>
      <c r="Q10" s="9"/>
      <c r="R10" s="9"/>
      <c r="S10" s="9"/>
      <c r="T10" s="9"/>
      <c r="U10" s="9"/>
    </row>
    <row r="11" spans="1:21" ht="47.25" customHeight="1" x14ac:dyDescent="0.25">
      <c r="A11" s="13"/>
      <c r="B11" s="13"/>
      <c r="C11" s="235" t="s">
        <v>67</v>
      </c>
      <c r="D11" s="235"/>
      <c r="E11" s="235"/>
      <c r="F11" s="235"/>
      <c r="G11" s="235"/>
      <c r="H11" s="235"/>
      <c r="I11" s="235"/>
      <c r="J11" s="235"/>
      <c r="K11" s="235"/>
      <c r="L11" s="235"/>
      <c r="M11" s="235"/>
      <c r="N11" s="235"/>
      <c r="O11" s="235"/>
      <c r="P11" s="235"/>
      <c r="Q11" s="13"/>
      <c r="R11" s="13"/>
      <c r="S11" s="13"/>
      <c r="T11" s="13"/>
      <c r="U11" s="13"/>
    </row>
    <row r="12" spans="1:21" ht="30.75" customHeight="1" x14ac:dyDescent="0.25">
      <c r="A12" s="9"/>
      <c r="B12" s="9"/>
      <c r="C12" s="235" t="s">
        <v>104</v>
      </c>
      <c r="D12" s="235"/>
      <c r="E12" s="235"/>
      <c r="F12" s="235"/>
      <c r="G12" s="235"/>
      <c r="H12" s="235"/>
      <c r="I12" s="235"/>
      <c r="J12" s="235"/>
      <c r="K12" s="235"/>
      <c r="L12" s="235"/>
      <c r="M12" s="235"/>
      <c r="N12" s="235"/>
      <c r="O12" s="235"/>
      <c r="P12" s="235"/>
      <c r="Q12" s="9"/>
      <c r="R12" s="9"/>
      <c r="S12" s="9"/>
    </row>
    <row r="13" spans="1:21" ht="15" customHeight="1" x14ac:dyDescent="0.25">
      <c r="A13" s="9"/>
      <c r="B13" s="9"/>
      <c r="C13" s="4"/>
      <c r="D13" s="4"/>
      <c r="E13" s="4"/>
      <c r="F13" s="4"/>
      <c r="G13" s="4"/>
      <c r="H13" s="4"/>
      <c r="I13" s="4"/>
      <c r="J13" s="4"/>
      <c r="K13" s="4"/>
      <c r="L13" s="4"/>
      <c r="M13" s="4"/>
      <c r="N13" s="4"/>
      <c r="O13" s="4"/>
      <c r="P13" s="4"/>
      <c r="Q13" s="9"/>
      <c r="R13" s="9"/>
      <c r="S13" s="9"/>
    </row>
    <row r="14" spans="1:21" x14ac:dyDescent="0.25">
      <c r="A14" s="9"/>
      <c r="B14" s="9"/>
      <c r="C14" s="9"/>
      <c r="D14" s="9" t="s">
        <v>105</v>
      </c>
      <c r="E14" s="9"/>
      <c r="F14" s="9"/>
      <c r="G14" s="9"/>
      <c r="H14" s="9"/>
      <c r="I14" s="9"/>
      <c r="J14" s="9"/>
      <c r="K14" s="9"/>
      <c r="L14" s="9"/>
      <c r="M14" s="9"/>
      <c r="N14" s="9"/>
      <c r="O14" s="9"/>
      <c r="P14" s="9"/>
      <c r="Q14" s="9"/>
      <c r="R14" s="9"/>
      <c r="S14" s="9"/>
    </row>
    <row r="15" spans="1:21" x14ac:dyDescent="0.25">
      <c r="A15" s="9"/>
      <c r="B15" s="9"/>
      <c r="C15" s="9"/>
      <c r="D15" s="9"/>
      <c r="E15" s="9"/>
      <c r="F15" s="9"/>
      <c r="G15" s="9"/>
      <c r="H15" s="9"/>
      <c r="I15" s="9"/>
      <c r="J15" s="9"/>
      <c r="K15" s="9"/>
      <c r="L15" s="9"/>
      <c r="M15" s="9"/>
      <c r="N15" s="9"/>
      <c r="O15" s="9"/>
      <c r="P15" s="9"/>
      <c r="Q15" s="9"/>
      <c r="R15" s="9"/>
      <c r="S15" s="9"/>
    </row>
    <row r="16" spans="1:21" ht="30" customHeight="1" x14ac:dyDescent="0.25">
      <c r="A16" s="9"/>
      <c r="B16" s="9"/>
      <c r="C16" s="235" t="s">
        <v>106</v>
      </c>
      <c r="D16" s="235"/>
      <c r="E16" s="235"/>
      <c r="F16" s="235"/>
      <c r="G16" s="235"/>
      <c r="H16" s="235"/>
      <c r="I16" s="235"/>
      <c r="J16" s="235"/>
      <c r="K16" s="235"/>
      <c r="L16" s="235"/>
      <c r="M16" s="235"/>
      <c r="N16" s="235"/>
      <c r="O16" s="235"/>
      <c r="P16" s="235"/>
      <c r="Q16" s="9"/>
      <c r="R16" s="9"/>
      <c r="S16" s="9"/>
    </row>
    <row r="17" spans="1:19" ht="15" customHeight="1" x14ac:dyDescent="0.25">
      <c r="A17" s="9"/>
      <c r="B17" s="9"/>
      <c r="C17" s="4"/>
      <c r="D17" s="4"/>
      <c r="E17" s="4"/>
      <c r="F17" s="4"/>
      <c r="G17" s="4"/>
      <c r="H17" s="4"/>
      <c r="I17" s="4"/>
      <c r="J17" s="4"/>
      <c r="K17" s="4"/>
      <c r="L17" s="4"/>
      <c r="M17" s="4"/>
      <c r="N17" s="4"/>
      <c r="O17" s="4"/>
      <c r="P17" s="4"/>
      <c r="Q17" s="9"/>
      <c r="R17" s="9"/>
      <c r="S17" s="9"/>
    </row>
    <row r="18" spans="1:19" x14ac:dyDescent="0.25">
      <c r="A18" s="9"/>
      <c r="B18" s="9"/>
      <c r="C18" s="9"/>
      <c r="D18" s="9" t="s">
        <v>84</v>
      </c>
      <c r="E18" s="9"/>
      <c r="F18" s="9"/>
      <c r="G18" s="9"/>
      <c r="H18" s="9"/>
      <c r="I18" s="9"/>
      <c r="J18" s="9"/>
      <c r="K18" s="9"/>
      <c r="L18" s="9"/>
      <c r="M18" s="9"/>
      <c r="N18" s="9"/>
      <c r="O18" s="9"/>
      <c r="P18" s="9"/>
      <c r="Q18" s="9"/>
      <c r="R18" s="9"/>
      <c r="S18" s="9"/>
    </row>
    <row r="19" spans="1:19" x14ac:dyDescent="0.25">
      <c r="A19" s="9"/>
      <c r="B19" s="9"/>
      <c r="C19" s="9"/>
      <c r="D19" s="9" t="s">
        <v>85</v>
      </c>
      <c r="E19" s="9"/>
      <c r="F19" s="9"/>
      <c r="G19" s="9"/>
      <c r="H19" s="9"/>
      <c r="I19" s="9"/>
      <c r="J19" s="9"/>
      <c r="K19" s="9"/>
      <c r="L19" s="9"/>
      <c r="M19" s="9"/>
      <c r="N19" s="9"/>
      <c r="O19" s="9"/>
      <c r="P19" s="9"/>
      <c r="Q19" s="9"/>
      <c r="R19" s="9"/>
      <c r="S19" s="9"/>
    </row>
    <row r="20" spans="1:19" x14ac:dyDescent="0.25">
      <c r="A20" s="9"/>
      <c r="B20" s="9"/>
      <c r="C20" s="9"/>
      <c r="D20" s="9"/>
      <c r="E20" s="9"/>
      <c r="F20" s="9"/>
      <c r="G20" s="9"/>
      <c r="H20" s="9"/>
      <c r="I20" s="9"/>
      <c r="J20" s="9"/>
      <c r="K20" s="9"/>
      <c r="L20" s="9"/>
      <c r="M20" s="9"/>
      <c r="N20" s="9"/>
      <c r="O20" s="9"/>
      <c r="P20" s="9"/>
      <c r="Q20" s="9"/>
      <c r="R20" s="9"/>
      <c r="S20" s="9"/>
    </row>
    <row r="21" spans="1:19" x14ac:dyDescent="0.25">
      <c r="A21" s="9"/>
      <c r="B21" s="9"/>
      <c r="C21" s="239" t="s">
        <v>89</v>
      </c>
      <c r="D21" s="239"/>
      <c r="E21" s="239"/>
      <c r="F21" s="239"/>
      <c r="G21" s="239"/>
      <c r="H21" s="239"/>
      <c r="I21" s="239"/>
      <c r="J21" s="239"/>
      <c r="K21" s="239"/>
      <c r="L21" s="239"/>
      <c r="M21" s="239"/>
      <c r="N21" s="239"/>
      <c r="O21" s="239"/>
      <c r="P21" s="239"/>
      <c r="Q21" s="9"/>
      <c r="R21" s="9"/>
      <c r="S21" s="9"/>
    </row>
    <row r="22" spans="1:19" x14ac:dyDescent="0.25">
      <c r="A22" s="9"/>
      <c r="B22" s="9"/>
      <c r="C22" s="239" t="s">
        <v>68</v>
      </c>
      <c r="D22" s="239"/>
      <c r="E22" s="239"/>
      <c r="F22" s="239"/>
      <c r="G22" s="239"/>
      <c r="H22" s="239"/>
      <c r="I22" s="239"/>
      <c r="J22" s="239"/>
      <c r="K22" s="239"/>
      <c r="L22" s="239"/>
      <c r="M22" s="239"/>
      <c r="N22" s="239"/>
      <c r="O22" s="239"/>
      <c r="P22" s="239"/>
      <c r="Q22" s="9"/>
      <c r="R22" s="9"/>
      <c r="S22" s="9"/>
    </row>
    <row r="23" spans="1:19" x14ac:dyDescent="0.25">
      <c r="A23" s="9"/>
      <c r="B23" s="9"/>
      <c r="C23" s="239" t="s">
        <v>69</v>
      </c>
      <c r="D23" s="239"/>
      <c r="E23" s="239"/>
      <c r="F23" s="239"/>
      <c r="G23" s="239"/>
      <c r="H23" s="239"/>
      <c r="I23" s="239"/>
      <c r="J23" s="239"/>
      <c r="K23" s="239"/>
      <c r="L23" s="239"/>
      <c r="M23" s="239"/>
      <c r="N23" s="239"/>
      <c r="O23" s="239"/>
      <c r="P23" s="239"/>
      <c r="Q23" s="9"/>
      <c r="R23" s="9"/>
      <c r="S23" s="9"/>
    </row>
    <row r="24" spans="1:19" ht="30" customHeight="1" x14ac:dyDescent="0.25">
      <c r="A24" s="9"/>
      <c r="B24" s="9"/>
      <c r="C24" s="235" t="s">
        <v>70</v>
      </c>
      <c r="D24" s="235"/>
      <c r="E24" s="235"/>
      <c r="F24" s="235"/>
      <c r="G24" s="235"/>
      <c r="H24" s="235"/>
      <c r="I24" s="235"/>
      <c r="J24" s="235"/>
      <c r="K24" s="235"/>
      <c r="L24" s="235"/>
      <c r="M24" s="235"/>
      <c r="N24" s="235"/>
      <c r="O24" s="235"/>
      <c r="P24" s="235"/>
      <c r="Q24" s="9"/>
      <c r="R24" s="9"/>
      <c r="S24" s="9"/>
    </row>
    <row r="25" spans="1:19" x14ac:dyDescent="0.25">
      <c r="A25" s="9"/>
      <c r="B25" s="9"/>
      <c r="C25" s="9"/>
      <c r="D25" s="9"/>
      <c r="E25" s="9"/>
      <c r="F25" s="9"/>
      <c r="G25" s="9"/>
      <c r="H25" s="9"/>
      <c r="I25" s="9"/>
      <c r="J25" s="9"/>
      <c r="K25" s="9"/>
      <c r="L25" s="9"/>
      <c r="M25" s="9"/>
      <c r="N25" s="9"/>
      <c r="O25" s="9"/>
      <c r="P25" s="9"/>
      <c r="Q25" s="9"/>
      <c r="R25" s="9"/>
      <c r="S25" s="9"/>
    </row>
    <row r="26" spans="1:19" x14ac:dyDescent="0.25">
      <c r="A26" s="9"/>
      <c r="B26" s="9"/>
      <c r="C26" s="9"/>
      <c r="D26" s="9"/>
      <c r="E26" s="9"/>
      <c r="F26" s="9"/>
      <c r="G26" s="9"/>
      <c r="H26" s="9"/>
      <c r="I26" s="9"/>
      <c r="J26" s="9"/>
      <c r="K26" s="9"/>
      <c r="L26" s="9"/>
      <c r="M26" s="9"/>
      <c r="N26" s="9"/>
      <c r="O26" s="9"/>
      <c r="P26" s="9"/>
      <c r="Q26" s="9"/>
      <c r="R26" s="9"/>
      <c r="S26" s="9"/>
    </row>
    <row r="27" spans="1:19" ht="18.75" customHeight="1" x14ac:dyDescent="0.3">
      <c r="A27" s="9"/>
      <c r="B27" s="12" t="s">
        <v>71</v>
      </c>
      <c r="C27" s="9"/>
      <c r="D27" s="9"/>
      <c r="E27" s="9"/>
      <c r="F27" s="9"/>
      <c r="G27" s="9"/>
      <c r="H27" s="9"/>
      <c r="I27" s="9"/>
      <c r="J27" s="9"/>
      <c r="K27" s="9"/>
      <c r="L27" s="9"/>
      <c r="M27" s="9"/>
      <c r="N27" s="9"/>
      <c r="O27" s="9"/>
      <c r="P27" s="9"/>
      <c r="Q27" s="9"/>
      <c r="R27" s="9"/>
      <c r="S27" s="9"/>
    </row>
    <row r="28" spans="1:19" x14ac:dyDescent="0.25">
      <c r="A28" s="9"/>
      <c r="B28" s="9" t="s">
        <v>107</v>
      </c>
      <c r="C28" s="9"/>
      <c r="D28" s="9"/>
      <c r="E28" s="9"/>
      <c r="F28" s="9"/>
      <c r="G28" s="9"/>
      <c r="H28" s="9"/>
      <c r="I28" s="9"/>
      <c r="J28" s="9"/>
      <c r="K28" s="9"/>
      <c r="L28" s="9"/>
      <c r="M28" s="9"/>
      <c r="N28" s="9"/>
      <c r="O28" s="9"/>
      <c r="P28" s="9"/>
      <c r="Q28" s="9"/>
      <c r="R28" s="9"/>
      <c r="S28" s="9"/>
    </row>
    <row r="29" spans="1:19" x14ac:dyDescent="0.25">
      <c r="A29" s="9"/>
      <c r="B29" s="9" t="s">
        <v>108</v>
      </c>
      <c r="C29" s="9"/>
      <c r="D29" s="9"/>
      <c r="E29" s="9"/>
      <c r="F29" s="9"/>
      <c r="G29" s="9"/>
      <c r="H29" s="9"/>
      <c r="I29" s="9"/>
      <c r="J29" s="9"/>
      <c r="K29" s="9"/>
      <c r="L29" s="9"/>
      <c r="M29" s="9"/>
      <c r="N29" s="9"/>
      <c r="O29" s="9"/>
      <c r="P29" s="9"/>
      <c r="Q29" s="9"/>
      <c r="R29" s="9"/>
      <c r="S29" s="9"/>
    </row>
    <row r="30" spans="1:19" x14ac:dyDescent="0.25">
      <c r="A30" s="9"/>
      <c r="B30" s="9"/>
      <c r="C30" s="9"/>
      <c r="D30" s="9"/>
      <c r="E30" s="9"/>
      <c r="F30" s="9"/>
      <c r="G30" s="9"/>
      <c r="H30" s="9"/>
      <c r="I30" s="9"/>
      <c r="J30" s="9"/>
      <c r="K30" s="9"/>
      <c r="L30" s="9"/>
      <c r="M30" s="9"/>
      <c r="N30" s="9"/>
      <c r="O30" s="9"/>
      <c r="P30" s="9"/>
      <c r="Q30" s="9"/>
      <c r="R30" s="9"/>
      <c r="S30" s="9"/>
    </row>
    <row r="31" spans="1:19" x14ac:dyDescent="0.25">
      <c r="A31" s="9"/>
      <c r="B31" s="9"/>
      <c r="C31" s="9"/>
      <c r="D31" s="9"/>
      <c r="E31" s="9"/>
      <c r="F31" s="9"/>
      <c r="G31" s="9"/>
      <c r="H31" s="9"/>
      <c r="I31" s="9"/>
      <c r="J31" s="9"/>
      <c r="K31" s="9"/>
      <c r="L31" s="9"/>
      <c r="M31" s="9"/>
      <c r="N31" s="9"/>
      <c r="O31" s="9"/>
      <c r="P31" s="9"/>
      <c r="Q31" s="9"/>
      <c r="R31" s="9"/>
      <c r="S31" s="9"/>
    </row>
    <row r="32" spans="1:19" ht="18.75" customHeight="1" x14ac:dyDescent="0.3">
      <c r="A32" s="9"/>
      <c r="B32" s="12" t="s">
        <v>97</v>
      </c>
      <c r="C32" s="9"/>
      <c r="D32" s="9"/>
      <c r="E32" s="9"/>
      <c r="F32" s="9"/>
      <c r="G32" s="9"/>
      <c r="H32" s="9"/>
      <c r="I32" s="9"/>
      <c r="J32" s="9"/>
      <c r="K32" s="9"/>
      <c r="L32" s="9"/>
      <c r="M32" s="9"/>
      <c r="N32" s="9"/>
      <c r="O32" s="9"/>
      <c r="P32" s="9"/>
      <c r="Q32" s="9"/>
      <c r="R32" s="9"/>
      <c r="S32" s="9"/>
    </row>
    <row r="33" spans="1:19" ht="19.5" customHeight="1" x14ac:dyDescent="0.25">
      <c r="A33" s="9"/>
      <c r="B33" s="241" t="s">
        <v>100</v>
      </c>
      <c r="C33" s="241"/>
      <c r="D33" s="241"/>
      <c r="E33" s="241"/>
      <c r="F33" s="241"/>
      <c r="G33" s="241"/>
      <c r="H33" s="241"/>
      <c r="I33" s="241"/>
      <c r="J33" s="241"/>
      <c r="K33" s="241"/>
      <c r="L33" s="241"/>
      <c r="M33" s="241"/>
      <c r="N33" s="241"/>
      <c r="O33" s="241"/>
      <c r="P33" s="241"/>
      <c r="Q33" s="9"/>
      <c r="R33" s="9"/>
      <c r="S33" s="9"/>
    </row>
    <row r="34" spans="1:19" x14ac:dyDescent="0.25">
      <c r="A34" s="9"/>
      <c r="B34" s="9"/>
      <c r="C34" s="9"/>
      <c r="D34" s="9"/>
      <c r="E34" s="9"/>
      <c r="F34" s="9"/>
      <c r="G34" s="9"/>
      <c r="H34" s="9"/>
      <c r="I34" s="9"/>
      <c r="J34" s="9"/>
      <c r="K34" s="9"/>
      <c r="L34" s="9"/>
      <c r="M34" s="9"/>
      <c r="N34" s="9"/>
      <c r="O34" s="9"/>
      <c r="P34" s="9"/>
      <c r="Q34" s="9"/>
      <c r="R34" s="9"/>
      <c r="S34" s="9"/>
    </row>
    <row r="35" spans="1:19" ht="30" customHeight="1" x14ac:dyDescent="0.25">
      <c r="A35" s="9"/>
      <c r="B35" s="237" t="s">
        <v>112</v>
      </c>
      <c r="C35" s="237"/>
      <c r="D35" s="237"/>
      <c r="E35" s="237"/>
      <c r="F35" s="237"/>
      <c r="G35" s="237"/>
      <c r="H35" s="237"/>
      <c r="I35" s="237"/>
      <c r="J35" s="237"/>
      <c r="K35" s="237"/>
      <c r="L35" s="237"/>
      <c r="M35" s="237"/>
      <c r="N35" s="237"/>
      <c r="O35" s="237"/>
      <c r="P35" s="237"/>
      <c r="Q35" s="9"/>
      <c r="R35" s="9"/>
      <c r="S35" s="9"/>
    </row>
    <row r="36" spans="1:19" x14ac:dyDescent="0.25">
      <c r="A36" s="9"/>
      <c r="B36" s="14"/>
      <c r="C36" s="13"/>
      <c r="D36" s="13"/>
      <c r="E36" s="13"/>
      <c r="F36" s="13"/>
      <c r="G36" s="13"/>
      <c r="H36" s="13"/>
      <c r="I36" s="13"/>
      <c r="J36" s="13"/>
      <c r="K36" s="13"/>
      <c r="L36" s="13"/>
      <c r="M36" s="13"/>
      <c r="N36" s="9"/>
      <c r="O36" s="9"/>
      <c r="P36" s="9"/>
      <c r="Q36" s="9"/>
      <c r="R36" s="9"/>
      <c r="S36" s="9"/>
    </row>
    <row r="37" spans="1:19" x14ac:dyDescent="0.25">
      <c r="A37" s="9"/>
      <c r="B37" s="9"/>
      <c r="C37" s="235" t="s">
        <v>101</v>
      </c>
      <c r="D37" s="235"/>
      <c r="E37" s="235"/>
      <c r="F37" s="235"/>
      <c r="G37" s="235"/>
      <c r="H37" s="4"/>
      <c r="I37" s="9"/>
      <c r="J37" s="9"/>
      <c r="K37" s="9"/>
      <c r="L37" s="9"/>
      <c r="M37" s="9"/>
      <c r="N37" s="9"/>
      <c r="O37" s="9"/>
      <c r="P37" s="9"/>
      <c r="Q37" s="9"/>
      <c r="R37" s="9"/>
      <c r="S37" s="9"/>
    </row>
    <row r="38" spans="1:19" x14ac:dyDescent="0.25">
      <c r="A38" s="9"/>
      <c r="B38" s="9"/>
      <c r="C38" s="4"/>
      <c r="D38" s="4"/>
      <c r="E38" s="4"/>
      <c r="F38" s="4"/>
      <c r="G38" s="4"/>
      <c r="H38" s="4"/>
      <c r="I38" s="9"/>
      <c r="J38" s="9"/>
      <c r="K38" s="9"/>
      <c r="L38" s="9"/>
      <c r="M38" s="9"/>
      <c r="N38" s="9"/>
      <c r="O38" s="9"/>
      <c r="P38" s="9"/>
      <c r="Q38" s="9"/>
      <c r="R38" s="9"/>
      <c r="S38" s="9"/>
    </row>
    <row r="39" spans="1:19" x14ac:dyDescent="0.25">
      <c r="A39" s="9"/>
      <c r="B39" s="238" t="s">
        <v>102</v>
      </c>
      <c r="C39" s="239"/>
      <c r="D39" s="239"/>
      <c r="E39" s="239"/>
      <c r="F39" s="239"/>
      <c r="G39" s="239"/>
      <c r="H39" s="239"/>
      <c r="I39" s="239"/>
      <c r="J39" s="239"/>
      <c r="K39" s="239"/>
      <c r="L39" s="239"/>
      <c r="M39" s="239"/>
      <c r="N39" s="9"/>
      <c r="O39" s="9"/>
      <c r="P39" s="9"/>
      <c r="Q39" s="9"/>
      <c r="R39" s="9"/>
      <c r="S39" s="9"/>
    </row>
    <row r="40" spans="1:19" x14ac:dyDescent="0.25">
      <c r="A40" s="9"/>
      <c r="B40" s="14"/>
      <c r="C40" s="13"/>
      <c r="D40" s="13"/>
      <c r="E40" s="13"/>
      <c r="F40" s="13"/>
      <c r="G40" s="13"/>
      <c r="H40" s="13"/>
      <c r="I40" s="13"/>
      <c r="J40" s="13"/>
      <c r="K40" s="13"/>
      <c r="L40" s="13"/>
      <c r="M40" s="13"/>
      <c r="N40" s="9"/>
      <c r="O40" s="9"/>
      <c r="P40" s="9"/>
      <c r="Q40" s="9"/>
      <c r="R40" s="9"/>
      <c r="S40" s="9"/>
    </row>
    <row r="41" spans="1:19" x14ac:dyDescent="0.25">
      <c r="A41" s="9"/>
      <c r="B41" s="9"/>
      <c r="C41" s="9" t="s">
        <v>98</v>
      </c>
      <c r="D41" s="9"/>
      <c r="E41" s="9"/>
      <c r="F41" s="9"/>
      <c r="G41" s="9"/>
      <c r="H41" s="9"/>
      <c r="I41" s="9"/>
      <c r="J41" s="9"/>
      <c r="K41" s="9"/>
      <c r="L41" s="9"/>
      <c r="M41" s="9"/>
      <c r="N41" s="9"/>
      <c r="O41" s="9"/>
      <c r="P41" s="9"/>
      <c r="Q41" s="9"/>
      <c r="R41" s="9"/>
      <c r="S41" s="9"/>
    </row>
    <row r="42" spans="1:19" x14ac:dyDescent="0.25">
      <c r="A42" s="9"/>
      <c r="B42" s="9"/>
      <c r="C42" s="9"/>
      <c r="D42" s="9"/>
      <c r="E42" s="9"/>
      <c r="F42" s="9"/>
      <c r="G42" s="9"/>
      <c r="H42" s="9"/>
      <c r="I42" s="9"/>
      <c r="J42" s="9"/>
      <c r="K42" s="9"/>
      <c r="L42" s="9"/>
      <c r="M42" s="9"/>
      <c r="N42" s="9"/>
      <c r="O42" s="9"/>
      <c r="P42" s="9"/>
      <c r="Q42" s="9"/>
      <c r="R42" s="9"/>
      <c r="S42" s="9"/>
    </row>
    <row r="43" spans="1:19" x14ac:dyDescent="0.25">
      <c r="A43" s="9"/>
      <c r="B43" s="9"/>
      <c r="C43" s="9"/>
      <c r="D43" s="9"/>
      <c r="E43" s="9"/>
      <c r="F43" s="9"/>
      <c r="G43" s="9"/>
      <c r="H43" s="9"/>
      <c r="I43" s="9"/>
      <c r="J43" s="9"/>
      <c r="K43" s="9"/>
      <c r="L43" s="9"/>
      <c r="M43" s="9"/>
      <c r="N43" s="9"/>
      <c r="O43" s="9"/>
      <c r="P43" s="9"/>
      <c r="Q43" s="9"/>
      <c r="R43" s="9"/>
      <c r="S43" s="9"/>
    </row>
    <row r="44" spans="1:19" x14ac:dyDescent="0.25">
      <c r="A44" s="9"/>
      <c r="B44" s="9"/>
      <c r="C44" s="9"/>
      <c r="D44" s="9"/>
      <c r="E44" s="9"/>
      <c r="F44" s="9"/>
      <c r="G44" s="9"/>
      <c r="H44" s="9"/>
      <c r="I44" s="9"/>
      <c r="J44" s="9"/>
      <c r="K44" s="9"/>
      <c r="L44" s="9"/>
      <c r="M44" s="9"/>
      <c r="N44" s="9"/>
      <c r="O44" s="9"/>
      <c r="P44" s="9"/>
      <c r="Q44" s="9"/>
      <c r="R44" s="9"/>
      <c r="S44" s="9"/>
    </row>
    <row r="45" spans="1:19" x14ac:dyDescent="0.25">
      <c r="A45" s="9"/>
      <c r="B45" s="9"/>
      <c r="C45" s="9"/>
      <c r="D45" s="9"/>
      <c r="E45" s="9"/>
      <c r="F45" s="9"/>
      <c r="G45" s="9"/>
      <c r="H45" s="9"/>
      <c r="I45" s="9"/>
      <c r="J45" s="9"/>
      <c r="K45" s="9"/>
      <c r="L45" s="9"/>
      <c r="M45" s="9"/>
      <c r="N45" s="9"/>
      <c r="O45" s="9"/>
      <c r="P45" s="9"/>
      <c r="Q45" s="9"/>
      <c r="R45" s="9"/>
      <c r="S45" s="9"/>
    </row>
    <row r="46" spans="1:19" x14ac:dyDescent="0.25">
      <c r="A46" s="9"/>
      <c r="B46" s="9"/>
      <c r="C46" s="9"/>
      <c r="D46" s="9"/>
      <c r="E46" s="9"/>
      <c r="F46" s="9"/>
      <c r="G46" s="9"/>
      <c r="H46" s="9"/>
      <c r="I46" s="9"/>
      <c r="J46" s="9"/>
      <c r="K46" s="9"/>
      <c r="L46" s="9"/>
      <c r="M46" s="9"/>
      <c r="N46" s="9"/>
      <c r="O46" s="9"/>
      <c r="P46" s="9"/>
      <c r="Q46" s="9"/>
      <c r="R46" s="9"/>
      <c r="S46" s="9"/>
    </row>
    <row r="47" spans="1:19" x14ac:dyDescent="0.25">
      <c r="A47" s="9"/>
      <c r="B47" s="9"/>
      <c r="C47" s="9"/>
      <c r="D47" s="9"/>
      <c r="E47" s="9"/>
      <c r="F47" s="9"/>
      <c r="G47" s="9"/>
      <c r="H47" s="9"/>
      <c r="I47" s="9"/>
      <c r="J47" s="9"/>
      <c r="K47" s="9"/>
      <c r="L47" s="9"/>
      <c r="M47" s="9"/>
      <c r="N47" s="9"/>
      <c r="O47" s="9"/>
      <c r="P47" s="9"/>
      <c r="Q47" s="9"/>
      <c r="R47" s="9"/>
      <c r="S47" s="9"/>
    </row>
  </sheetData>
  <mergeCells count="14">
    <mergeCell ref="B35:P35"/>
    <mergeCell ref="C11:P11"/>
    <mergeCell ref="B39:M39"/>
    <mergeCell ref="C37:G37"/>
    <mergeCell ref="B5:P5"/>
    <mergeCell ref="B9:P9"/>
    <mergeCell ref="B10:P10"/>
    <mergeCell ref="C12:P12"/>
    <mergeCell ref="C16:P16"/>
    <mergeCell ref="C21:P21"/>
    <mergeCell ref="C22:P22"/>
    <mergeCell ref="C23:P23"/>
    <mergeCell ref="C24:P24"/>
    <mergeCell ref="B33:P33"/>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11C4E"/>
  </sheetPr>
  <dimension ref="B2:O15"/>
  <sheetViews>
    <sheetView showGridLines="0" workbookViewId="0"/>
  </sheetViews>
  <sheetFormatPr defaultColWidth="11.42578125" defaultRowHeight="15" x14ac:dyDescent="0.25"/>
  <sheetData>
    <row r="2" spans="2:15" ht="21" customHeight="1" x14ac:dyDescent="0.35">
      <c r="B2" s="5" t="s">
        <v>88</v>
      </c>
    </row>
    <row r="4" spans="2:15" ht="30.75" customHeight="1" x14ac:dyDescent="0.25">
      <c r="B4" s="15" t="s">
        <v>72</v>
      </c>
      <c r="C4" s="3"/>
      <c r="D4" s="3"/>
      <c r="E4" s="3"/>
      <c r="F4" s="241" t="s">
        <v>73</v>
      </c>
      <c r="G4" s="241"/>
      <c r="H4" s="241"/>
      <c r="I4" s="241"/>
      <c r="J4" s="241"/>
      <c r="K4" s="241"/>
      <c r="L4" s="241"/>
      <c r="M4" s="241"/>
      <c r="N4" s="241"/>
      <c r="O4" s="241"/>
    </row>
    <row r="5" spans="2:15" ht="18.75" customHeight="1" x14ac:dyDescent="0.25">
      <c r="B5" s="15"/>
      <c r="C5" s="3"/>
      <c r="D5" s="3"/>
      <c r="E5" s="3"/>
      <c r="F5" s="241" t="s">
        <v>74</v>
      </c>
      <c r="G5" s="241"/>
      <c r="H5" s="241"/>
      <c r="I5" s="241"/>
      <c r="J5" s="241"/>
      <c r="K5" s="241"/>
      <c r="L5" s="241"/>
      <c r="M5" s="241"/>
      <c r="N5" s="241"/>
      <c r="O5" s="241"/>
    </row>
    <row r="6" spans="2:15" ht="30" customHeight="1" x14ac:dyDescent="0.25">
      <c r="B6" s="15"/>
      <c r="C6" s="3"/>
      <c r="D6" s="3"/>
      <c r="E6" s="3"/>
      <c r="F6" s="241" t="s">
        <v>75</v>
      </c>
      <c r="G6" s="241"/>
      <c r="H6" s="241"/>
      <c r="I6" s="241"/>
      <c r="J6" s="241"/>
      <c r="K6" s="241"/>
      <c r="L6" s="241"/>
      <c r="M6" s="241"/>
      <c r="N6" s="241"/>
      <c r="O6" s="241"/>
    </row>
    <row r="7" spans="2:15" x14ac:dyDescent="0.25">
      <c r="B7" s="15"/>
      <c r="C7" s="3"/>
      <c r="D7" s="3"/>
      <c r="E7" s="3"/>
      <c r="F7" s="3"/>
      <c r="G7" s="3"/>
      <c r="H7" s="3"/>
      <c r="I7" s="3"/>
      <c r="J7" s="3"/>
      <c r="K7" s="3"/>
      <c r="L7" s="3"/>
      <c r="M7" s="3"/>
      <c r="N7" s="3"/>
      <c r="O7" s="3"/>
    </row>
    <row r="8" spans="2:15" ht="30.75" customHeight="1" x14ac:dyDescent="0.25">
      <c r="B8" s="15" t="s">
        <v>76</v>
      </c>
      <c r="C8" s="3"/>
      <c r="D8" s="3"/>
      <c r="E8" s="3"/>
      <c r="F8" s="241" t="s">
        <v>77</v>
      </c>
      <c r="G8" s="241"/>
      <c r="H8" s="241"/>
      <c r="I8" s="241"/>
      <c r="J8" s="241"/>
      <c r="K8" s="241"/>
      <c r="L8" s="241"/>
      <c r="M8" s="241"/>
      <c r="N8" s="241"/>
      <c r="O8" s="241"/>
    </row>
    <row r="9" spans="2:15" x14ac:dyDescent="0.25">
      <c r="B9" s="15"/>
      <c r="C9" s="3"/>
      <c r="D9" s="3"/>
      <c r="E9" s="3"/>
      <c r="F9" s="3"/>
      <c r="G9" s="3"/>
      <c r="H9" s="3"/>
      <c r="I9" s="3"/>
      <c r="J9" s="3"/>
      <c r="K9" s="3"/>
      <c r="L9" s="3"/>
      <c r="M9" s="3"/>
      <c r="N9" s="3"/>
      <c r="O9" s="3"/>
    </row>
    <row r="10" spans="2:15" ht="31.5" customHeight="1" x14ac:dyDescent="0.25">
      <c r="B10" s="15" t="s">
        <v>78</v>
      </c>
      <c r="C10" s="3"/>
      <c r="D10" s="3"/>
      <c r="E10" s="3"/>
      <c r="F10" s="241" t="s">
        <v>79</v>
      </c>
      <c r="G10" s="241"/>
      <c r="H10" s="241"/>
      <c r="I10" s="241"/>
      <c r="J10" s="241"/>
      <c r="K10" s="241"/>
      <c r="L10" s="241"/>
      <c r="M10" s="241"/>
      <c r="N10" s="241"/>
      <c r="O10" s="241"/>
    </row>
    <row r="11" spans="2:15" x14ac:dyDescent="0.25">
      <c r="B11" s="15"/>
      <c r="C11" s="3"/>
      <c r="D11" s="3"/>
      <c r="E11" s="3"/>
      <c r="F11" s="3"/>
      <c r="G11" s="3"/>
      <c r="H11" s="3"/>
      <c r="I11" s="3"/>
      <c r="J11" s="3"/>
      <c r="K11" s="3"/>
      <c r="L11" s="3"/>
      <c r="M11" s="3"/>
      <c r="N11" s="3"/>
      <c r="O11" s="3"/>
    </row>
    <row r="12" spans="2:15" ht="60" customHeight="1" x14ac:dyDescent="0.25">
      <c r="B12" s="15" t="s">
        <v>80</v>
      </c>
      <c r="C12" s="3"/>
      <c r="D12" s="3"/>
      <c r="E12" s="3"/>
      <c r="F12" s="241" t="s">
        <v>81</v>
      </c>
      <c r="G12" s="241"/>
      <c r="H12" s="241"/>
      <c r="I12" s="241"/>
      <c r="J12" s="241"/>
      <c r="K12" s="241"/>
      <c r="L12" s="241"/>
      <c r="M12" s="241"/>
      <c r="N12" s="241"/>
      <c r="O12" s="241"/>
    </row>
    <row r="13" spans="2:15" x14ac:dyDescent="0.25">
      <c r="B13" s="15"/>
      <c r="C13" s="3"/>
      <c r="D13" s="3"/>
      <c r="E13" s="3"/>
      <c r="F13" s="3"/>
      <c r="G13" s="3"/>
      <c r="H13" s="3"/>
      <c r="I13" s="3"/>
      <c r="J13" s="3"/>
      <c r="K13" s="3"/>
      <c r="L13" s="3"/>
      <c r="M13" s="3"/>
      <c r="N13" s="3"/>
      <c r="O13" s="3"/>
    </row>
    <row r="14" spans="2:15" ht="57.75" customHeight="1" x14ac:dyDescent="0.25">
      <c r="B14" s="15" t="s">
        <v>82</v>
      </c>
      <c r="C14" s="3"/>
      <c r="D14" s="3"/>
      <c r="E14" s="3"/>
      <c r="F14" s="241" t="s">
        <v>83</v>
      </c>
      <c r="G14" s="241"/>
      <c r="H14" s="241"/>
      <c r="I14" s="241"/>
      <c r="J14" s="241"/>
      <c r="K14" s="241"/>
      <c r="L14" s="241"/>
      <c r="M14" s="241"/>
      <c r="N14" s="241"/>
      <c r="O14" s="241"/>
    </row>
    <row r="15" spans="2:15" x14ac:dyDescent="0.25">
      <c r="B15" s="3"/>
      <c r="C15" s="3"/>
      <c r="D15" s="3"/>
      <c r="E15" s="3"/>
      <c r="F15" s="9"/>
      <c r="G15" s="9"/>
      <c r="H15" s="9"/>
      <c r="I15" s="9"/>
      <c r="J15" s="9"/>
      <c r="K15" s="9"/>
      <c r="L15" s="9"/>
      <c r="M15" s="9"/>
      <c r="N15" s="9"/>
      <c r="O15" s="9"/>
    </row>
  </sheetData>
  <mergeCells count="7">
    <mergeCell ref="F14:O14"/>
    <mergeCell ref="F4:O4"/>
    <mergeCell ref="F5:O5"/>
    <mergeCell ref="F6:O6"/>
    <mergeCell ref="F8:O8"/>
    <mergeCell ref="F10:O10"/>
    <mergeCell ref="F12:O12"/>
  </mergeCell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Z46"/>
  <sheetViews>
    <sheetView showGridLines="0" zoomScale="84" zoomScaleNormal="84" workbookViewId="0">
      <pane xSplit="2" ySplit="5" topLeftCell="K6" activePane="bottomRight" state="frozen"/>
      <selection pane="topRight" activeCell="B1" sqref="B1"/>
      <selection pane="bottomLeft" activeCell="A2" sqref="A2"/>
      <selection pane="bottomRight"/>
    </sheetView>
  </sheetViews>
  <sheetFormatPr defaultColWidth="11.42578125" defaultRowHeight="15" x14ac:dyDescent="0.25"/>
  <cols>
    <col min="1" max="1" width="10.140625" customWidth="1"/>
    <col min="2" max="2" width="61.5703125" customWidth="1"/>
    <col min="3" max="10" width="14" bestFit="1" customWidth="1"/>
    <col min="11" max="11" width="13.5703125" bestFit="1" customWidth="1"/>
    <col min="12" max="12" width="13.140625" bestFit="1" customWidth="1"/>
    <col min="13" max="18" width="13.5703125" bestFit="1" customWidth="1"/>
    <col min="19" max="23" width="15.7109375" bestFit="1" customWidth="1"/>
    <col min="24" max="26" width="15.85546875" customWidth="1"/>
  </cols>
  <sheetData>
    <row r="2" spans="2:26" ht="21" customHeight="1" x14ac:dyDescent="0.35">
      <c r="B2" s="5" t="s">
        <v>93</v>
      </c>
    </row>
    <row r="3" spans="2:26" ht="17.25" customHeight="1" x14ac:dyDescent="0.25">
      <c r="B3" s="16" t="s">
        <v>94</v>
      </c>
    </row>
    <row r="4" spans="2:26" ht="15.75" customHeight="1" thickBot="1" x14ac:dyDescent="0.3"/>
    <row r="5" spans="2:26" ht="15.75" customHeight="1" thickBot="1" x14ac:dyDescent="0.3">
      <c r="B5" s="17"/>
      <c r="C5" s="174">
        <v>2002</v>
      </c>
      <c r="D5" s="174">
        <v>2003</v>
      </c>
      <c r="E5" s="174">
        <v>2004</v>
      </c>
      <c r="F5" s="174">
        <v>2005</v>
      </c>
      <c r="G5" s="174">
        <v>2006</v>
      </c>
      <c r="H5" s="174">
        <v>2007</v>
      </c>
      <c r="I5" s="174">
        <v>2008</v>
      </c>
      <c r="J5" s="174">
        <v>2009</v>
      </c>
      <c r="K5" s="174">
        <v>2010</v>
      </c>
      <c r="L5" s="174">
        <v>2011</v>
      </c>
      <c r="M5" s="174">
        <v>2012</v>
      </c>
      <c r="N5" s="174">
        <v>2013</v>
      </c>
      <c r="O5" s="174">
        <v>2014</v>
      </c>
      <c r="P5" s="174">
        <v>2015</v>
      </c>
      <c r="Q5" s="174">
        <v>2016</v>
      </c>
      <c r="R5" s="174">
        <v>2017</v>
      </c>
      <c r="S5" s="174">
        <v>2018</v>
      </c>
      <c r="T5" s="174">
        <v>2019</v>
      </c>
      <c r="U5" s="174">
        <v>2020</v>
      </c>
      <c r="V5" s="174">
        <v>2021</v>
      </c>
      <c r="W5" s="174">
        <v>2022</v>
      </c>
      <c r="X5" s="174">
        <v>2023</v>
      </c>
      <c r="Y5" s="174">
        <v>2024</v>
      </c>
      <c r="Z5" s="186">
        <v>2025</v>
      </c>
    </row>
    <row r="6" spans="2:26" x14ac:dyDescent="0.25">
      <c r="B6" s="18" t="s">
        <v>23</v>
      </c>
      <c r="C6" s="187">
        <v>18</v>
      </c>
      <c r="D6" s="187">
        <v>13</v>
      </c>
      <c r="E6" s="187">
        <v>24</v>
      </c>
      <c r="F6" s="187">
        <v>39</v>
      </c>
      <c r="G6" s="187">
        <v>30</v>
      </c>
      <c r="H6" s="187">
        <v>32</v>
      </c>
      <c r="I6" s="187">
        <v>18</v>
      </c>
      <c r="J6" s="187">
        <v>27</v>
      </c>
      <c r="K6" s="187">
        <v>27</v>
      </c>
      <c r="L6" s="187">
        <v>30</v>
      </c>
      <c r="M6" s="187">
        <v>19</v>
      </c>
      <c r="N6" s="187">
        <v>17</v>
      </c>
      <c r="O6" s="187">
        <v>22</v>
      </c>
      <c r="P6" s="187">
        <v>1</v>
      </c>
      <c r="Q6" s="187">
        <v>1</v>
      </c>
      <c r="R6" s="187">
        <v>3</v>
      </c>
      <c r="S6" s="187">
        <v>3</v>
      </c>
      <c r="T6" s="187">
        <v>1</v>
      </c>
      <c r="U6" s="187">
        <v>2</v>
      </c>
      <c r="V6" s="187">
        <v>0</v>
      </c>
      <c r="W6" s="187">
        <v>0</v>
      </c>
      <c r="X6" s="187">
        <v>0</v>
      </c>
      <c r="Y6" s="187">
        <v>0</v>
      </c>
      <c r="Z6" s="188">
        <v>0</v>
      </c>
    </row>
    <row r="7" spans="2:26" x14ac:dyDescent="0.25">
      <c r="B7" s="18" t="s">
        <v>24</v>
      </c>
      <c r="C7" s="187">
        <v>8</v>
      </c>
      <c r="D7" s="187">
        <v>6</v>
      </c>
      <c r="E7" s="187">
        <v>13</v>
      </c>
      <c r="F7" s="187">
        <v>8</v>
      </c>
      <c r="G7" s="187">
        <v>10</v>
      </c>
      <c r="H7" s="187">
        <v>5</v>
      </c>
      <c r="I7" s="187">
        <v>3</v>
      </c>
      <c r="J7" s="187">
        <v>5</v>
      </c>
      <c r="K7" s="187">
        <v>6</v>
      </c>
      <c r="L7" s="187">
        <v>16</v>
      </c>
      <c r="M7" s="187">
        <v>7</v>
      </c>
      <c r="N7" s="187">
        <v>10</v>
      </c>
      <c r="O7" s="187">
        <v>3</v>
      </c>
      <c r="P7" s="187">
        <v>1</v>
      </c>
      <c r="Q7" s="187">
        <v>0</v>
      </c>
      <c r="R7" s="187">
        <v>1</v>
      </c>
      <c r="S7" s="187">
        <v>1</v>
      </c>
      <c r="T7" s="187">
        <v>0</v>
      </c>
      <c r="U7" s="187">
        <v>0</v>
      </c>
      <c r="V7" s="187">
        <v>0</v>
      </c>
      <c r="W7" s="187">
        <v>1</v>
      </c>
      <c r="X7" s="187">
        <v>0</v>
      </c>
      <c r="Y7" s="187">
        <v>1</v>
      </c>
      <c r="Z7" s="188">
        <v>0</v>
      </c>
    </row>
    <row r="8" spans="2:26" ht="15.75" thickBot="1" x14ac:dyDescent="0.3">
      <c r="B8" s="18" t="s">
        <v>25</v>
      </c>
      <c r="C8" s="175">
        <v>0</v>
      </c>
      <c r="D8" s="175">
        <v>0</v>
      </c>
      <c r="E8" s="175">
        <v>4</v>
      </c>
      <c r="F8" s="175">
        <v>4</v>
      </c>
      <c r="G8" s="175">
        <v>11</v>
      </c>
      <c r="H8" s="175">
        <v>11</v>
      </c>
      <c r="I8" s="175">
        <v>11</v>
      </c>
      <c r="J8" s="175">
        <v>18</v>
      </c>
      <c r="K8" s="175">
        <v>12</v>
      </c>
      <c r="L8" s="175">
        <v>5</v>
      </c>
      <c r="M8" s="175">
        <v>10</v>
      </c>
      <c r="N8" s="175">
        <v>8</v>
      </c>
      <c r="O8" s="175">
        <v>19</v>
      </c>
      <c r="P8" s="175">
        <v>7</v>
      </c>
      <c r="Q8" s="175">
        <v>1</v>
      </c>
      <c r="R8" s="175">
        <v>2</v>
      </c>
      <c r="S8" s="175">
        <v>4</v>
      </c>
      <c r="T8" s="175">
        <v>11</v>
      </c>
      <c r="U8" s="175">
        <v>2</v>
      </c>
      <c r="V8" s="175">
        <v>17</v>
      </c>
      <c r="W8" s="175">
        <v>14</v>
      </c>
      <c r="X8" s="175">
        <v>10</v>
      </c>
      <c r="Y8" s="175">
        <v>9</v>
      </c>
      <c r="Z8" s="189">
        <v>7</v>
      </c>
    </row>
    <row r="9" spans="2:26" ht="15.75" thickTop="1" x14ac:dyDescent="0.25">
      <c r="B9" s="19" t="s">
        <v>26</v>
      </c>
      <c r="C9" s="190">
        <f t="shared" ref="C9:M9" si="0">SUM(C6:C8)</f>
        <v>26</v>
      </c>
      <c r="D9" s="190">
        <f>SUM(D6:D8)</f>
        <v>19</v>
      </c>
      <c r="E9" s="190">
        <f t="shared" si="0"/>
        <v>41</v>
      </c>
      <c r="F9" s="190">
        <f t="shared" si="0"/>
        <v>51</v>
      </c>
      <c r="G9" s="190">
        <f t="shared" si="0"/>
        <v>51</v>
      </c>
      <c r="H9" s="190">
        <f t="shared" si="0"/>
        <v>48</v>
      </c>
      <c r="I9" s="190">
        <f t="shared" si="0"/>
        <v>32</v>
      </c>
      <c r="J9" s="190">
        <f t="shared" si="0"/>
        <v>50</v>
      </c>
      <c r="K9" s="190">
        <f t="shared" si="0"/>
        <v>45</v>
      </c>
      <c r="L9" s="190">
        <f t="shared" si="0"/>
        <v>51</v>
      </c>
      <c r="M9" s="190">
        <f t="shared" si="0"/>
        <v>36</v>
      </c>
      <c r="N9" s="190">
        <f>SUM(N6:N8)</f>
        <v>35</v>
      </c>
      <c r="O9" s="190">
        <f>SUM(O6:O8)</f>
        <v>44</v>
      </c>
      <c r="P9" s="190">
        <f t="shared" ref="P9:Y9" si="1">SUM(P6:P8)</f>
        <v>9</v>
      </c>
      <c r="Q9" s="190">
        <f t="shared" si="1"/>
        <v>2</v>
      </c>
      <c r="R9" s="190">
        <f t="shared" si="1"/>
        <v>6</v>
      </c>
      <c r="S9" s="190">
        <f t="shared" si="1"/>
        <v>8</v>
      </c>
      <c r="T9" s="190">
        <f t="shared" si="1"/>
        <v>12</v>
      </c>
      <c r="U9" s="190">
        <f t="shared" si="1"/>
        <v>4</v>
      </c>
      <c r="V9" s="190">
        <f>SUM(V6:V8)</f>
        <v>17</v>
      </c>
      <c r="W9" s="190">
        <f t="shared" si="1"/>
        <v>15</v>
      </c>
      <c r="X9" s="190">
        <f t="shared" si="1"/>
        <v>10</v>
      </c>
      <c r="Y9" s="190">
        <f t="shared" si="1"/>
        <v>10</v>
      </c>
      <c r="Z9" s="191">
        <f>SUM(Z6:Z8)</f>
        <v>7</v>
      </c>
    </row>
    <row r="10" spans="2:26" x14ac:dyDescent="0.25">
      <c r="B10" s="18"/>
      <c r="C10" s="190"/>
      <c r="D10" s="190"/>
      <c r="E10" s="190"/>
      <c r="F10" s="190"/>
      <c r="G10" s="190"/>
      <c r="H10" s="190"/>
      <c r="I10" s="190"/>
      <c r="J10" s="190"/>
      <c r="K10" s="190"/>
      <c r="L10" s="190"/>
      <c r="M10" s="190"/>
      <c r="N10" s="190"/>
      <c r="O10" s="192"/>
      <c r="P10" s="192"/>
      <c r="Q10" s="192"/>
      <c r="R10" s="193"/>
      <c r="S10" s="194"/>
      <c r="T10" s="195"/>
      <c r="U10" s="195"/>
      <c r="V10" s="195"/>
      <c r="W10" s="195"/>
      <c r="X10" s="195"/>
      <c r="Y10" s="195"/>
      <c r="Z10" s="196"/>
    </row>
    <row r="11" spans="2:26" x14ac:dyDescent="0.25">
      <c r="B11" s="18" t="s">
        <v>27</v>
      </c>
      <c r="C11" s="192">
        <v>23322.06</v>
      </c>
      <c r="D11" s="192">
        <v>20487.939999999999</v>
      </c>
      <c r="E11" s="192">
        <v>33494.170000000006</v>
      </c>
      <c r="F11" s="192">
        <v>64350.99</v>
      </c>
      <c r="G11" s="192">
        <v>40343.930000000008</v>
      </c>
      <c r="H11" s="192">
        <v>43477.82</v>
      </c>
      <c r="I11" s="192">
        <v>17009.939999999999</v>
      </c>
      <c r="J11" s="192">
        <v>20746.750000000004</v>
      </c>
      <c r="K11" s="192">
        <v>42076.649999999994</v>
      </c>
      <c r="L11" s="192">
        <v>33008.209999999992</v>
      </c>
      <c r="M11" s="192">
        <v>38204.199999999997</v>
      </c>
      <c r="N11" s="197">
        <v>39082.400000000001</v>
      </c>
      <c r="O11" s="197">
        <v>43497.710000000006</v>
      </c>
      <c r="P11" s="197">
        <v>1495</v>
      </c>
      <c r="Q11" s="198">
        <v>6692</v>
      </c>
      <c r="R11" s="198">
        <v>6885.4500000000007</v>
      </c>
      <c r="S11" s="198">
        <v>8985.2000000000007</v>
      </c>
      <c r="T11" s="198">
        <v>3076</v>
      </c>
      <c r="U11" s="198">
        <v>7297.8</v>
      </c>
      <c r="V11" s="198">
        <v>0</v>
      </c>
      <c r="W11" s="198">
        <v>0</v>
      </c>
      <c r="X11" s="187">
        <v>0</v>
      </c>
      <c r="Y11" s="187">
        <v>0</v>
      </c>
      <c r="Z11" s="188">
        <v>0</v>
      </c>
    </row>
    <row r="12" spans="2:26" x14ac:dyDescent="0.25">
      <c r="B12" s="18" t="s">
        <v>28</v>
      </c>
      <c r="C12" s="192">
        <v>16825</v>
      </c>
      <c r="D12" s="192">
        <v>16392.3</v>
      </c>
      <c r="E12" s="192">
        <v>34758.5</v>
      </c>
      <c r="F12" s="192">
        <v>18807.900000000001</v>
      </c>
      <c r="G12" s="192">
        <v>12987.18</v>
      </c>
      <c r="H12" s="192">
        <v>10256.5</v>
      </c>
      <c r="I12" s="192">
        <v>4589.16</v>
      </c>
      <c r="J12" s="192">
        <v>14624.25</v>
      </c>
      <c r="K12" s="192">
        <v>7534.5</v>
      </c>
      <c r="L12" s="192">
        <v>20507.95</v>
      </c>
      <c r="M12" s="192">
        <v>14779</v>
      </c>
      <c r="N12" s="197">
        <v>27890.78</v>
      </c>
      <c r="O12" s="197">
        <v>10359.1</v>
      </c>
      <c r="P12" s="197">
        <v>1232</v>
      </c>
      <c r="Q12" s="198">
        <v>0</v>
      </c>
      <c r="R12" s="198">
        <v>1069</v>
      </c>
      <c r="S12" s="198">
        <v>5426.1</v>
      </c>
      <c r="T12" s="198">
        <v>914</v>
      </c>
      <c r="U12" s="198">
        <v>0</v>
      </c>
      <c r="V12" s="198">
        <v>0</v>
      </c>
      <c r="W12" s="198">
        <v>2983.23</v>
      </c>
      <c r="X12" s="187">
        <v>0</v>
      </c>
      <c r="Y12" s="187">
        <v>4505</v>
      </c>
      <c r="Z12" s="188">
        <v>0</v>
      </c>
    </row>
    <row r="13" spans="2:26" ht="15.75" thickBot="1" x14ac:dyDescent="0.3">
      <c r="B13" s="18" t="s">
        <v>29</v>
      </c>
      <c r="C13" s="176">
        <v>0</v>
      </c>
      <c r="D13" s="176">
        <v>0</v>
      </c>
      <c r="E13" s="176">
        <v>6466</v>
      </c>
      <c r="F13" s="176">
        <v>11081.1</v>
      </c>
      <c r="G13" s="176">
        <v>35824.699999999997</v>
      </c>
      <c r="H13" s="176">
        <v>36489.800000000003</v>
      </c>
      <c r="I13" s="176">
        <v>25153.5</v>
      </c>
      <c r="J13" s="176">
        <v>45754.64</v>
      </c>
      <c r="K13" s="176">
        <v>20158.43</v>
      </c>
      <c r="L13" s="176">
        <v>6266.4</v>
      </c>
      <c r="M13" s="176">
        <v>27245.599999999999</v>
      </c>
      <c r="N13" s="177">
        <v>29474.61</v>
      </c>
      <c r="O13" s="177">
        <v>57741.440000000002</v>
      </c>
      <c r="P13" s="177">
        <v>23575.040000000001</v>
      </c>
      <c r="Q13" s="178">
        <v>4600</v>
      </c>
      <c r="R13" s="178">
        <v>4728.2</v>
      </c>
      <c r="S13" s="178">
        <v>10384.6</v>
      </c>
      <c r="T13" s="178">
        <v>43842.8</v>
      </c>
      <c r="U13" s="178">
        <v>10175.1</v>
      </c>
      <c r="V13" s="178">
        <v>60107.56</v>
      </c>
      <c r="W13" s="178">
        <v>63731.83</v>
      </c>
      <c r="X13" s="178">
        <v>37038.449999999997</v>
      </c>
      <c r="Y13" s="178">
        <v>32433.67</v>
      </c>
      <c r="Z13" s="199">
        <v>37323.699999999997</v>
      </c>
    </row>
    <row r="14" spans="2:26" ht="15.75" thickTop="1" x14ac:dyDescent="0.25">
      <c r="B14" s="19" t="s">
        <v>30</v>
      </c>
      <c r="C14" s="200">
        <f t="shared" ref="C14:W14" si="2">SUM(C11:C13)</f>
        <v>40147.06</v>
      </c>
      <c r="D14" s="200">
        <f t="shared" si="2"/>
        <v>36880.239999999998</v>
      </c>
      <c r="E14" s="200">
        <f t="shared" si="2"/>
        <v>74718.670000000013</v>
      </c>
      <c r="F14" s="200">
        <f t="shared" si="2"/>
        <v>94239.99</v>
      </c>
      <c r="G14" s="200">
        <f t="shared" si="2"/>
        <v>89155.81</v>
      </c>
      <c r="H14" s="200">
        <f t="shared" si="2"/>
        <v>90224.12</v>
      </c>
      <c r="I14" s="200">
        <f t="shared" si="2"/>
        <v>46752.6</v>
      </c>
      <c r="J14" s="200">
        <f t="shared" si="2"/>
        <v>81125.64</v>
      </c>
      <c r="K14" s="200">
        <f t="shared" si="2"/>
        <v>69769.579999999987</v>
      </c>
      <c r="L14" s="200">
        <f t="shared" si="2"/>
        <v>59782.55999999999</v>
      </c>
      <c r="M14" s="200">
        <f t="shared" si="2"/>
        <v>80228.799999999988</v>
      </c>
      <c r="N14" s="200">
        <f t="shared" si="2"/>
        <v>96447.79</v>
      </c>
      <c r="O14" s="200">
        <f t="shared" si="2"/>
        <v>111598.25</v>
      </c>
      <c r="P14" s="200">
        <f t="shared" si="2"/>
        <v>26302.04</v>
      </c>
      <c r="Q14" s="200">
        <f t="shared" si="2"/>
        <v>11292</v>
      </c>
      <c r="R14" s="200">
        <f t="shared" si="2"/>
        <v>12682.650000000001</v>
      </c>
      <c r="S14" s="200">
        <f t="shared" si="2"/>
        <v>24795.9</v>
      </c>
      <c r="T14" s="200">
        <f t="shared" si="2"/>
        <v>47832.800000000003</v>
      </c>
      <c r="U14" s="200">
        <f t="shared" si="2"/>
        <v>17472.900000000001</v>
      </c>
      <c r="V14" s="200">
        <f t="shared" si="2"/>
        <v>60107.56</v>
      </c>
      <c r="W14" s="200">
        <f t="shared" si="2"/>
        <v>66715.06</v>
      </c>
      <c r="X14" s="200">
        <f>SUM(X11:X13)</f>
        <v>37038.449999999997</v>
      </c>
      <c r="Y14" s="200">
        <f>SUM(Y11:Y13)</f>
        <v>36938.67</v>
      </c>
      <c r="Z14" s="201">
        <f>SUM(Z11:Z13)</f>
        <v>37323.699999999997</v>
      </c>
    </row>
    <row r="15" spans="2:26" x14ac:dyDescent="0.25">
      <c r="B15" s="18"/>
      <c r="C15" s="202"/>
      <c r="D15" s="202"/>
      <c r="E15" s="202"/>
      <c r="F15" s="202"/>
      <c r="G15" s="202"/>
      <c r="H15" s="202"/>
      <c r="I15" s="202"/>
      <c r="J15" s="202"/>
      <c r="K15" s="202"/>
      <c r="L15" s="202"/>
      <c r="M15" s="202"/>
      <c r="N15" s="190"/>
      <c r="O15" s="192"/>
      <c r="P15" s="192"/>
      <c r="Q15" s="192"/>
      <c r="R15" s="193"/>
      <c r="S15" s="194"/>
      <c r="T15" s="195"/>
      <c r="U15" s="195"/>
      <c r="V15" s="195"/>
      <c r="W15" s="195"/>
      <c r="X15" s="195"/>
      <c r="Y15" s="195"/>
      <c r="Z15" s="196"/>
    </row>
    <row r="16" spans="2:26" x14ac:dyDescent="0.25">
      <c r="B16" s="18" t="s">
        <v>31</v>
      </c>
      <c r="C16" s="203"/>
      <c r="D16" s="203"/>
      <c r="E16" s="203"/>
      <c r="F16" s="203"/>
      <c r="G16" s="203"/>
      <c r="H16" s="203"/>
      <c r="I16" s="203"/>
      <c r="J16" s="203"/>
      <c r="K16" s="203"/>
      <c r="L16" s="203"/>
      <c r="M16" s="203"/>
      <c r="N16" s="203">
        <v>206.78200000000001</v>
      </c>
      <c r="O16" s="203">
        <v>468.69</v>
      </c>
      <c r="P16" s="203">
        <v>19.010000000000002</v>
      </c>
      <c r="Q16" s="204">
        <f>17944197.45/1000000</f>
        <v>17.944197450000001</v>
      </c>
      <c r="R16" s="204">
        <f>25167864.02/1000000</f>
        <v>25.16786402</v>
      </c>
      <c r="S16" s="205">
        <f t="shared" ref="S16" si="3">31883866/1000000</f>
        <v>31.883866000000001</v>
      </c>
      <c r="T16" s="205">
        <f>84191580/1000000</f>
        <v>84.191580000000002</v>
      </c>
      <c r="U16" s="205">
        <f>127568192/1000000</f>
        <v>127.568192</v>
      </c>
      <c r="V16" s="205">
        <f>38616256/1000000</f>
        <v>38.616256</v>
      </c>
      <c r="W16" s="205">
        <f>36014745/1000000</f>
        <v>36.014744999999998</v>
      </c>
      <c r="X16" s="205">
        <f>41350330/1000000</f>
        <v>41.35033</v>
      </c>
      <c r="Y16" s="205">
        <f>2180810/1000000</f>
        <v>2.1808100000000001</v>
      </c>
      <c r="Z16" s="206"/>
    </row>
    <row r="17" spans="2:26" x14ac:dyDescent="0.25">
      <c r="B17" s="18" t="s">
        <v>32</v>
      </c>
      <c r="C17" s="203"/>
      <c r="D17" s="203"/>
      <c r="E17" s="203"/>
      <c r="F17" s="203"/>
      <c r="G17" s="203"/>
      <c r="H17" s="203"/>
      <c r="I17" s="203"/>
      <c r="J17" s="203"/>
      <c r="K17" s="203"/>
      <c r="L17" s="203"/>
      <c r="M17" s="203"/>
      <c r="N17" s="203">
        <v>93.822999999999993</v>
      </c>
      <c r="O17" s="203">
        <v>114.28</v>
      </c>
      <c r="P17" s="203">
        <v>-0.52</v>
      </c>
      <c r="Q17" s="207">
        <f>610/1000000</f>
        <v>6.0999999999999997E-4</v>
      </c>
      <c r="R17" s="207">
        <f>1660537/1000000</f>
        <v>1.6605369999999999</v>
      </c>
      <c r="S17" s="205">
        <f>460004/1000000</f>
        <v>0.46000400000000002</v>
      </c>
      <c r="T17" s="205">
        <v>0</v>
      </c>
      <c r="U17" s="205">
        <v>0</v>
      </c>
      <c r="V17" s="205">
        <f>8582747/1000000</f>
        <v>8.5827469999999995</v>
      </c>
      <c r="W17" s="205">
        <f>2032945/1000000</f>
        <v>2.0329449999999998</v>
      </c>
      <c r="X17" s="205">
        <v>0</v>
      </c>
      <c r="Y17" s="205">
        <f>81523.4/1000000</f>
        <v>8.1523399999999996E-2</v>
      </c>
      <c r="Z17" s="206"/>
    </row>
    <row r="18" spans="2:26" ht="15.75" thickBot="1" x14ac:dyDescent="0.3">
      <c r="B18" s="18" t="s">
        <v>33</v>
      </c>
      <c r="C18" s="203"/>
      <c r="D18" s="203"/>
      <c r="E18" s="203"/>
      <c r="F18" s="203"/>
      <c r="G18" s="203"/>
      <c r="H18" s="203"/>
      <c r="I18" s="203"/>
      <c r="J18" s="203"/>
      <c r="K18" s="203"/>
      <c r="L18" s="203"/>
      <c r="M18" s="203"/>
      <c r="N18" s="179">
        <v>358.15100000000001</v>
      </c>
      <c r="O18" s="179">
        <v>540.92999999999995</v>
      </c>
      <c r="P18" s="179">
        <v>341.27</v>
      </c>
      <c r="Q18" s="180">
        <f>77429877/1000000</f>
        <v>77.429877000000005</v>
      </c>
      <c r="R18" s="180">
        <f>49251156.61/1000000</f>
        <v>49.251156610000002</v>
      </c>
      <c r="S18" s="181">
        <f>77711593/1000000</f>
        <v>77.711592999999993</v>
      </c>
      <c r="T18" s="181">
        <f>151187460.26/1000000</f>
        <v>151.18746025999999</v>
      </c>
      <c r="U18" s="181">
        <f>133125195/1000000</f>
        <v>133.12519499999999</v>
      </c>
      <c r="V18" s="181">
        <f>317201663/1000000</f>
        <v>317.201663</v>
      </c>
      <c r="W18" s="181">
        <f>471895757/1000000</f>
        <v>471.895757</v>
      </c>
      <c r="X18" s="181">
        <f>362111200.29/1000000</f>
        <v>362.11120029</v>
      </c>
      <c r="Y18" s="181">
        <f>174822034.3/1000000</f>
        <v>174.82203430000001</v>
      </c>
      <c r="Z18" s="208"/>
    </row>
    <row r="19" spans="2:26" ht="15.75" thickTop="1" x14ac:dyDescent="0.25">
      <c r="B19" s="19" t="s">
        <v>34</v>
      </c>
      <c r="C19" s="209"/>
      <c r="D19" s="209"/>
      <c r="E19" s="209"/>
      <c r="F19" s="209"/>
      <c r="G19" s="209"/>
      <c r="H19" s="209"/>
      <c r="I19" s="209"/>
      <c r="J19" s="209"/>
      <c r="K19" s="209"/>
      <c r="L19" s="209"/>
      <c r="M19" s="209"/>
      <c r="N19" s="210">
        <f>SUM(N16:N18)</f>
        <v>658.75600000000009</v>
      </c>
      <c r="O19" s="210">
        <f t="shared" ref="O19:W19" si="4">SUM(O16:O18)</f>
        <v>1123.9000000000001</v>
      </c>
      <c r="P19" s="210">
        <f t="shared" si="4"/>
        <v>359.76</v>
      </c>
      <c r="Q19" s="210">
        <f t="shared" si="4"/>
        <v>95.374684450000004</v>
      </c>
      <c r="R19" s="210">
        <f t="shared" si="4"/>
        <v>76.079557630000011</v>
      </c>
      <c r="S19" s="210">
        <f t="shared" si="4"/>
        <v>110.055463</v>
      </c>
      <c r="T19" s="210">
        <f t="shared" si="4"/>
        <v>235.37904026000001</v>
      </c>
      <c r="U19" s="210">
        <f t="shared" si="4"/>
        <v>260.69338699999997</v>
      </c>
      <c r="V19" s="210">
        <f t="shared" si="4"/>
        <v>364.400666</v>
      </c>
      <c r="W19" s="210">
        <f t="shared" si="4"/>
        <v>509.94344699999999</v>
      </c>
      <c r="X19" s="210">
        <f>SUM(X16:X18)</f>
        <v>403.46153028999998</v>
      </c>
      <c r="Y19" s="210">
        <f>SUM(Y16:Y18)</f>
        <v>177.0843677</v>
      </c>
      <c r="Z19" s="211">
        <f>SUM(Z16:Z18)</f>
        <v>0</v>
      </c>
    </row>
    <row r="20" spans="2:26" x14ac:dyDescent="0.25">
      <c r="B20" s="18"/>
      <c r="C20" s="209"/>
      <c r="D20" s="209"/>
      <c r="E20" s="209"/>
      <c r="F20" s="209"/>
      <c r="G20" s="209"/>
      <c r="H20" s="209"/>
      <c r="I20" s="209"/>
      <c r="J20" s="209"/>
      <c r="K20" s="209"/>
      <c r="L20" s="209"/>
      <c r="M20" s="209"/>
      <c r="N20" s="209"/>
      <c r="O20" s="203"/>
      <c r="P20" s="203"/>
      <c r="Q20" s="203"/>
      <c r="R20" s="212"/>
      <c r="S20" s="194"/>
      <c r="T20" s="194"/>
      <c r="U20" s="194"/>
      <c r="V20" s="194"/>
      <c r="W20" s="194"/>
      <c r="X20" s="195"/>
      <c r="Y20" s="195"/>
      <c r="Z20" s="196"/>
    </row>
    <row r="21" spans="2:26" x14ac:dyDescent="0.25">
      <c r="B21" s="18" t="s">
        <v>35</v>
      </c>
      <c r="C21" s="197">
        <v>141</v>
      </c>
      <c r="D21" s="197">
        <v>2455</v>
      </c>
      <c r="E21" s="197">
        <v>5466</v>
      </c>
      <c r="F21" s="197">
        <v>3764</v>
      </c>
      <c r="G21" s="197">
        <v>13240</v>
      </c>
      <c r="H21" s="197">
        <v>14424</v>
      </c>
      <c r="I21" s="197">
        <v>25749</v>
      </c>
      <c r="J21" s="197">
        <v>12058</v>
      </c>
      <c r="K21" s="197">
        <v>9751.23</v>
      </c>
      <c r="L21" s="197">
        <v>8353</v>
      </c>
      <c r="M21" s="197">
        <v>219.84</v>
      </c>
      <c r="N21" s="197">
        <v>315.3</v>
      </c>
      <c r="O21" s="197">
        <v>15523.55</v>
      </c>
      <c r="P21" s="197">
        <v>22455</v>
      </c>
      <c r="Q21" s="198">
        <v>9148</v>
      </c>
      <c r="R21" s="198">
        <v>0</v>
      </c>
      <c r="S21" s="198">
        <v>20</v>
      </c>
      <c r="T21" s="198">
        <v>0</v>
      </c>
      <c r="U21" s="198">
        <v>0</v>
      </c>
      <c r="V21" s="198">
        <v>145.61000000000001</v>
      </c>
      <c r="W21" s="198">
        <v>0</v>
      </c>
      <c r="X21" s="198">
        <v>0</v>
      </c>
      <c r="Y21" s="198">
        <v>0</v>
      </c>
      <c r="Z21" s="213">
        <v>0</v>
      </c>
    </row>
    <row r="22" spans="2:26" x14ac:dyDescent="0.25">
      <c r="B22" s="18" t="s">
        <v>36</v>
      </c>
      <c r="C22" s="197">
        <v>9927</v>
      </c>
      <c r="D22" s="197">
        <v>10829</v>
      </c>
      <c r="E22" s="197">
        <v>23808</v>
      </c>
      <c r="F22" s="197">
        <v>14707</v>
      </c>
      <c r="G22" s="197">
        <v>30627</v>
      </c>
      <c r="H22" s="197">
        <v>20019</v>
      </c>
      <c r="I22" s="197">
        <v>11411</v>
      </c>
      <c r="J22" s="197">
        <v>6989</v>
      </c>
      <c r="K22" s="197">
        <v>21511.82</v>
      </c>
      <c r="L22" s="197">
        <v>7911</v>
      </c>
      <c r="M22" s="197">
        <v>6387</v>
      </c>
      <c r="N22" s="197">
        <v>5917</v>
      </c>
      <c r="O22" s="197">
        <v>11299.373</v>
      </c>
      <c r="P22" s="197">
        <v>14805.6</v>
      </c>
      <c r="Q22" s="198">
        <v>10228.92</v>
      </c>
      <c r="R22" s="214">
        <v>1381.9</v>
      </c>
      <c r="S22" s="198">
        <v>1751.2331999999999</v>
      </c>
      <c r="T22" s="198">
        <v>489.58509999999774</v>
      </c>
      <c r="U22" s="198">
        <v>250.26699999999849</v>
      </c>
      <c r="V22" s="198">
        <v>167.5</v>
      </c>
      <c r="W22" s="198">
        <v>0</v>
      </c>
      <c r="X22" s="198">
        <v>0</v>
      </c>
      <c r="Y22" s="198">
        <v>70</v>
      </c>
      <c r="Z22" s="213">
        <v>0</v>
      </c>
    </row>
    <row r="23" spans="2:26" ht="17.25" customHeight="1" x14ac:dyDescent="0.25">
      <c r="B23" s="18" t="s">
        <v>95</v>
      </c>
      <c r="C23" s="197">
        <v>483</v>
      </c>
      <c r="D23" s="197">
        <v>444</v>
      </c>
      <c r="E23" s="197">
        <v>39</v>
      </c>
      <c r="F23" s="197">
        <v>3120</v>
      </c>
      <c r="G23" s="197">
        <v>2360</v>
      </c>
      <c r="H23" s="197">
        <v>935</v>
      </c>
      <c r="I23" s="197">
        <v>991</v>
      </c>
      <c r="J23" s="197">
        <v>1151</v>
      </c>
      <c r="K23" s="197">
        <v>204</v>
      </c>
      <c r="L23" s="197">
        <v>6864</v>
      </c>
      <c r="M23" s="197">
        <v>164.3</v>
      </c>
      <c r="N23" s="197">
        <v>6825</v>
      </c>
      <c r="O23" s="197">
        <v>5743</v>
      </c>
      <c r="P23" s="197">
        <v>6007</v>
      </c>
      <c r="Q23" s="215">
        <v>7638.4</v>
      </c>
      <c r="R23" s="215">
        <v>17477</v>
      </c>
      <c r="S23" s="215">
        <v>3653.6</v>
      </c>
      <c r="T23" s="215">
        <v>0</v>
      </c>
      <c r="U23" s="215">
        <v>0</v>
      </c>
      <c r="V23" s="215">
        <v>147.80000000000001</v>
      </c>
      <c r="W23" s="215">
        <v>244.7</v>
      </c>
      <c r="X23" s="215">
        <v>0</v>
      </c>
      <c r="Y23" s="215">
        <v>0</v>
      </c>
      <c r="Z23" s="216">
        <v>0</v>
      </c>
    </row>
    <row r="24" spans="2:26" ht="17.25" customHeight="1" x14ac:dyDescent="0.25">
      <c r="B24" s="18" t="s">
        <v>96</v>
      </c>
      <c r="C24" s="197">
        <v>566</v>
      </c>
      <c r="D24" s="197">
        <v>961</v>
      </c>
      <c r="E24" s="197">
        <v>410</v>
      </c>
      <c r="F24" s="197">
        <v>247</v>
      </c>
      <c r="G24" s="197">
        <v>2147</v>
      </c>
      <c r="H24" s="197">
        <v>407</v>
      </c>
      <c r="I24" s="197">
        <v>432</v>
      </c>
      <c r="J24" s="197">
        <v>457</v>
      </c>
      <c r="K24" s="197">
        <v>1244</v>
      </c>
      <c r="L24" s="197">
        <v>1214</v>
      </c>
      <c r="M24" s="197">
        <v>9484.0229999999992</v>
      </c>
      <c r="N24" s="197">
        <v>1113</v>
      </c>
      <c r="O24" s="197">
        <v>212.4</v>
      </c>
      <c r="P24" s="197">
        <v>4406.1000000000004</v>
      </c>
      <c r="Q24" s="198">
        <v>21299</v>
      </c>
      <c r="R24" s="198">
        <v>8242</v>
      </c>
      <c r="S24" s="198">
        <v>7374.9</v>
      </c>
      <c r="T24" s="198">
        <v>4299</v>
      </c>
      <c r="U24" s="214">
        <v>695.298</v>
      </c>
      <c r="V24" s="214">
        <v>677.08899999999903</v>
      </c>
      <c r="W24" s="214">
        <v>0</v>
      </c>
      <c r="X24" s="195">
        <v>217</v>
      </c>
      <c r="Y24" s="214">
        <v>95</v>
      </c>
      <c r="Z24" s="217">
        <v>178</v>
      </c>
    </row>
    <row r="25" spans="2:26" x14ac:dyDescent="0.25">
      <c r="B25" s="20"/>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6"/>
    </row>
    <row r="26" spans="2:26" x14ac:dyDescent="0.25">
      <c r="B26" s="18" t="s">
        <v>37</v>
      </c>
      <c r="C26" s="203"/>
      <c r="D26" s="203"/>
      <c r="E26" s="203"/>
      <c r="F26" s="203"/>
      <c r="G26" s="203"/>
      <c r="H26" s="203"/>
      <c r="I26" s="203"/>
      <c r="J26" s="203"/>
      <c r="K26" s="203"/>
      <c r="L26" s="203"/>
      <c r="M26" s="203"/>
      <c r="N26" s="203">
        <v>66.119</v>
      </c>
      <c r="O26" s="203">
        <v>95.52</v>
      </c>
      <c r="P26" s="203">
        <v>119.42</v>
      </c>
      <c r="Q26" s="212">
        <f>122557837/1000000</f>
        <v>122.55783700000001</v>
      </c>
      <c r="R26" s="212">
        <f>139294314.66/1000000</f>
        <v>139.29431466</v>
      </c>
      <c r="S26" s="212">
        <f>24016475/1000000</f>
        <v>24.016475</v>
      </c>
      <c r="T26" s="212">
        <f>811775.11/1000000</f>
        <v>0.81177511000000002</v>
      </c>
      <c r="U26" s="212">
        <f>5848948.1/1000000</f>
        <v>5.8489480999999994</v>
      </c>
      <c r="V26" s="212">
        <f>12701465/1000000</f>
        <v>12.701465000000001</v>
      </c>
      <c r="W26" s="212">
        <f>8415478/1000000</f>
        <v>8.4154780000000002</v>
      </c>
      <c r="X26" s="212">
        <f>5300094/1000000</f>
        <v>5.3000939999999996</v>
      </c>
      <c r="Y26" s="212">
        <f>11040/1000000</f>
        <v>1.1039999999999999E-2</v>
      </c>
      <c r="Z26" s="218">
        <v>0</v>
      </c>
    </row>
    <row r="27" spans="2:26" ht="15.75" thickBot="1" x14ac:dyDescent="0.3">
      <c r="B27" s="18" t="s">
        <v>38</v>
      </c>
      <c r="C27" s="203"/>
      <c r="D27" s="203"/>
      <c r="E27" s="203"/>
      <c r="F27" s="203"/>
      <c r="G27" s="203"/>
      <c r="H27" s="203"/>
      <c r="I27" s="203"/>
      <c r="J27" s="203"/>
      <c r="K27" s="203"/>
      <c r="L27" s="203"/>
      <c r="M27" s="203"/>
      <c r="N27" s="179">
        <v>3.948</v>
      </c>
      <c r="O27" s="179">
        <v>2.76</v>
      </c>
      <c r="P27" s="179">
        <v>3.71</v>
      </c>
      <c r="Q27" s="182">
        <f>3776690/1000000</f>
        <v>3.7766899999999999</v>
      </c>
      <c r="R27" s="182">
        <f>16745572/1000000</f>
        <v>16.745571999999999</v>
      </c>
      <c r="S27" s="182">
        <f>5743316/1000000</f>
        <v>5.7433160000000001</v>
      </c>
      <c r="T27" s="182">
        <f>2440900.22/1000000</f>
        <v>2.4409002200000001</v>
      </c>
      <c r="U27" s="182">
        <f>1815410.02/1000000</f>
        <v>1.8154100200000001</v>
      </c>
      <c r="V27" s="182">
        <f>754971.75/1000000</f>
        <v>0.75497175000000005</v>
      </c>
      <c r="W27" s="182">
        <f>751034/1000000</f>
        <v>0.75103399999999998</v>
      </c>
      <c r="X27" s="182">
        <f>1390993/1000000</f>
        <v>1.3909929999999999</v>
      </c>
      <c r="Y27" s="182">
        <f>524623/1000000</f>
        <v>0.52462299999999995</v>
      </c>
      <c r="Z27" s="219">
        <f>708208/1000000</f>
        <v>0.70820799999999995</v>
      </c>
    </row>
    <row r="28" spans="2:26" ht="15.75" thickTop="1" x14ac:dyDescent="0.25">
      <c r="B28" s="19" t="s">
        <v>39</v>
      </c>
      <c r="C28" s="209"/>
      <c r="D28" s="209"/>
      <c r="E28" s="209"/>
      <c r="F28" s="209"/>
      <c r="G28" s="209"/>
      <c r="H28" s="209"/>
      <c r="I28" s="209"/>
      <c r="J28" s="209"/>
      <c r="K28" s="209"/>
      <c r="L28" s="209"/>
      <c r="M28" s="209"/>
      <c r="N28" s="210">
        <f>SUM(N26:N27)</f>
        <v>70.066999999999993</v>
      </c>
      <c r="O28" s="210">
        <f t="shared" ref="O28:Z28" si="5">SUM(O26:O27)</f>
        <v>98.28</v>
      </c>
      <c r="P28" s="210">
        <f>SUM(P26:P27)</f>
        <v>123.13</v>
      </c>
      <c r="Q28" s="210">
        <f t="shared" si="5"/>
        <v>126.33452700000001</v>
      </c>
      <c r="R28" s="210">
        <f t="shared" si="5"/>
        <v>156.03988666000001</v>
      </c>
      <c r="S28" s="210">
        <f t="shared" si="5"/>
        <v>29.759791</v>
      </c>
      <c r="T28" s="210">
        <f t="shared" si="5"/>
        <v>3.2526753300000002</v>
      </c>
      <c r="U28" s="210">
        <f t="shared" si="5"/>
        <v>7.6643581199999993</v>
      </c>
      <c r="V28" s="210">
        <f t="shared" si="5"/>
        <v>13.45643675</v>
      </c>
      <c r="W28" s="210">
        <f t="shared" si="5"/>
        <v>9.1665120000000009</v>
      </c>
      <c r="X28" s="210">
        <f t="shared" si="5"/>
        <v>6.6910869999999996</v>
      </c>
      <c r="Y28" s="210">
        <f t="shared" si="5"/>
        <v>0.535663</v>
      </c>
      <c r="Z28" s="211">
        <f t="shared" si="5"/>
        <v>0.70820799999999995</v>
      </c>
    </row>
    <row r="29" spans="2:26" x14ac:dyDescent="0.25">
      <c r="B29" s="18"/>
      <c r="C29" s="209"/>
      <c r="D29" s="209"/>
      <c r="E29" s="209"/>
      <c r="F29" s="209"/>
      <c r="G29" s="209"/>
      <c r="H29" s="209"/>
      <c r="I29" s="209"/>
      <c r="J29" s="209"/>
      <c r="K29" s="209"/>
      <c r="L29" s="209"/>
      <c r="M29" s="209"/>
      <c r="N29" s="209"/>
      <c r="O29" s="203"/>
      <c r="P29" s="203"/>
      <c r="Q29" s="203"/>
      <c r="R29" s="212"/>
      <c r="S29" s="194"/>
      <c r="T29" s="194"/>
      <c r="U29" s="194"/>
      <c r="V29" s="194"/>
      <c r="W29" s="194"/>
      <c r="X29" s="195"/>
      <c r="Y29" s="195"/>
      <c r="Z29" s="196"/>
    </row>
    <row r="30" spans="2:26" x14ac:dyDescent="0.25">
      <c r="B30" s="18" t="s">
        <v>40</v>
      </c>
      <c r="C30" s="203">
        <v>186</v>
      </c>
      <c r="D30" s="203">
        <v>159</v>
      </c>
      <c r="E30" s="203">
        <v>280</v>
      </c>
      <c r="F30" s="203">
        <v>186</v>
      </c>
      <c r="G30" s="203">
        <v>133</v>
      </c>
      <c r="H30" s="203">
        <v>200</v>
      </c>
      <c r="I30" s="203">
        <v>314</v>
      </c>
      <c r="J30" s="203">
        <v>191</v>
      </c>
      <c r="K30" s="203">
        <v>246</v>
      </c>
      <c r="L30" s="203">
        <v>159</v>
      </c>
      <c r="M30" s="203">
        <v>212</v>
      </c>
      <c r="N30" s="203">
        <v>312.7</v>
      </c>
      <c r="O30" s="203">
        <v>448.85</v>
      </c>
      <c r="P30" s="203">
        <v>186.69</v>
      </c>
      <c r="Q30" s="212">
        <f>138496104/1000000</f>
        <v>138.496104</v>
      </c>
      <c r="R30" s="212">
        <f>190202842.36/1000000</f>
        <v>190.20284236000001</v>
      </c>
      <c r="S30" s="212">
        <f>76528046.57/1000000</f>
        <v>76.528046569999987</v>
      </c>
      <c r="T30" s="212">
        <f>92200577.36/1000000</f>
        <v>92.200577359999997</v>
      </c>
      <c r="U30" s="212">
        <f>137814603.66/1000000</f>
        <v>137.81460365999999</v>
      </c>
      <c r="V30" s="212">
        <f>17498385.68/1000000</f>
        <v>17.498385679999998</v>
      </c>
      <c r="W30" s="212">
        <f>5557592.02/1000000</f>
        <v>5.5575920199999995</v>
      </c>
      <c r="X30" s="212">
        <f>8264774.43/1000000</f>
        <v>8.2647744299999992</v>
      </c>
      <c r="Y30" s="212">
        <f>2601147.24/1000000</f>
        <v>2.6011472400000004</v>
      </c>
      <c r="Z30" s="218">
        <f>2698656.82/1000000</f>
        <v>2.6986568199999996</v>
      </c>
    </row>
    <row r="31" spans="2:26" ht="15.75" thickBot="1" x14ac:dyDescent="0.3">
      <c r="B31" s="18" t="s">
        <v>41</v>
      </c>
      <c r="C31" s="179">
        <v>218</v>
      </c>
      <c r="D31" s="179">
        <v>195</v>
      </c>
      <c r="E31" s="179">
        <v>182</v>
      </c>
      <c r="F31" s="179">
        <v>553</v>
      </c>
      <c r="G31" s="179">
        <v>574</v>
      </c>
      <c r="H31" s="179">
        <v>1359</v>
      </c>
      <c r="I31" s="179">
        <v>963</v>
      </c>
      <c r="J31" s="179">
        <v>1202</v>
      </c>
      <c r="K31" s="179">
        <v>1095</v>
      </c>
      <c r="L31" s="179">
        <v>1084</v>
      </c>
      <c r="M31" s="179">
        <v>1267</v>
      </c>
      <c r="N31" s="179">
        <v>1264.5999999999999</v>
      </c>
      <c r="O31" s="179">
        <v>1616.05</v>
      </c>
      <c r="P31" s="179">
        <v>1147.1199999999999</v>
      </c>
      <c r="Q31" s="183">
        <f>902659142/1000000</f>
        <v>902.65914199999997</v>
      </c>
      <c r="R31" s="183">
        <f>805913091.93/1000000</f>
        <v>805.91309192999995</v>
      </c>
      <c r="S31" s="183">
        <f>1038449796/1000000</f>
        <v>1038.4497960000001</v>
      </c>
      <c r="T31" s="183">
        <f>1023770121.91/1000000</f>
        <v>1023.7701219099999</v>
      </c>
      <c r="U31" s="183">
        <f>885006152.52/1000000</f>
        <v>885.00615252</v>
      </c>
      <c r="V31" s="183">
        <f>1104740418.31/1000000</f>
        <v>1104.74041831</v>
      </c>
      <c r="W31" s="183">
        <f>1354062843.37/1000000</f>
        <v>1354.0628433699999</v>
      </c>
      <c r="X31" s="183">
        <f>1274803212.8/1000000</f>
        <v>1274.8032128</v>
      </c>
      <c r="Y31" s="183">
        <f>954090367.36/1000000</f>
        <v>954.09036735999996</v>
      </c>
      <c r="Z31" s="220">
        <f>935708962.52/1000000</f>
        <v>935.70896252</v>
      </c>
    </row>
    <row r="32" spans="2:26" ht="15.75" thickTop="1" x14ac:dyDescent="0.25">
      <c r="B32" s="21" t="s">
        <v>42</v>
      </c>
      <c r="C32" s="209">
        <f t="shared" ref="C32:Z32" si="6">C31+C30</f>
        <v>404</v>
      </c>
      <c r="D32" s="209">
        <f t="shared" si="6"/>
        <v>354</v>
      </c>
      <c r="E32" s="209">
        <f t="shared" si="6"/>
        <v>462</v>
      </c>
      <c r="F32" s="209">
        <f t="shared" si="6"/>
        <v>739</v>
      </c>
      <c r="G32" s="209">
        <f t="shared" si="6"/>
        <v>707</v>
      </c>
      <c r="H32" s="209">
        <f t="shared" si="6"/>
        <v>1559</v>
      </c>
      <c r="I32" s="209">
        <f t="shared" si="6"/>
        <v>1277</v>
      </c>
      <c r="J32" s="209">
        <f t="shared" si="6"/>
        <v>1393</v>
      </c>
      <c r="K32" s="209">
        <f t="shared" si="6"/>
        <v>1341</v>
      </c>
      <c r="L32" s="209">
        <f t="shared" si="6"/>
        <v>1243</v>
      </c>
      <c r="M32" s="209">
        <f t="shared" si="6"/>
        <v>1479</v>
      </c>
      <c r="N32" s="209">
        <f t="shared" si="6"/>
        <v>1577.3</v>
      </c>
      <c r="O32" s="209">
        <f t="shared" si="6"/>
        <v>2064.9</v>
      </c>
      <c r="P32" s="209">
        <f t="shared" si="6"/>
        <v>1333.81</v>
      </c>
      <c r="Q32" s="209">
        <f t="shared" si="6"/>
        <v>1041.155246</v>
      </c>
      <c r="R32" s="209">
        <f t="shared" si="6"/>
        <v>996.11593428999993</v>
      </c>
      <c r="S32" s="209">
        <f t="shared" si="6"/>
        <v>1114.9778425700001</v>
      </c>
      <c r="T32" s="209">
        <f t="shared" si="6"/>
        <v>1115.9706992699998</v>
      </c>
      <c r="U32" s="209">
        <f t="shared" si="6"/>
        <v>1022.82075618</v>
      </c>
      <c r="V32" s="209">
        <f t="shared" si="6"/>
        <v>1122.23880399</v>
      </c>
      <c r="W32" s="209">
        <f t="shared" si="6"/>
        <v>1359.6204353899998</v>
      </c>
      <c r="X32" s="209">
        <f t="shared" si="6"/>
        <v>1283.06798723</v>
      </c>
      <c r="Y32" s="209">
        <f t="shared" si="6"/>
        <v>956.6915146</v>
      </c>
      <c r="Z32" s="221">
        <f t="shared" si="6"/>
        <v>938.40761934</v>
      </c>
    </row>
    <row r="33" spans="2:26" x14ac:dyDescent="0.25">
      <c r="B33" s="18"/>
      <c r="C33" s="222"/>
      <c r="D33" s="222"/>
      <c r="E33" s="222"/>
      <c r="F33" s="222"/>
      <c r="G33" s="222"/>
      <c r="H33" s="222"/>
      <c r="I33" s="222"/>
      <c r="J33" s="222"/>
      <c r="K33" s="222"/>
      <c r="L33" s="222"/>
      <c r="M33" s="222"/>
      <c r="N33" s="222"/>
      <c r="O33" s="223"/>
      <c r="P33" s="223"/>
      <c r="Q33" s="223"/>
      <c r="R33" s="224"/>
      <c r="S33" s="194"/>
      <c r="T33" s="194"/>
      <c r="U33" s="194"/>
      <c r="V33" s="194"/>
      <c r="W33" s="194"/>
      <c r="X33" s="195"/>
      <c r="Y33" s="195"/>
      <c r="Z33" s="196"/>
    </row>
    <row r="34" spans="2:26" x14ac:dyDescent="0.25">
      <c r="B34" s="18" t="s">
        <v>43</v>
      </c>
      <c r="C34" s="192">
        <v>0</v>
      </c>
      <c r="D34" s="192">
        <v>2</v>
      </c>
      <c r="E34" s="192">
        <v>0</v>
      </c>
      <c r="F34" s="225">
        <v>0</v>
      </c>
      <c r="G34" s="225">
        <v>0</v>
      </c>
      <c r="H34" s="225">
        <v>0</v>
      </c>
      <c r="I34" s="225">
        <v>1</v>
      </c>
      <c r="J34" s="225">
        <v>1</v>
      </c>
      <c r="K34" s="225">
        <v>0</v>
      </c>
      <c r="L34" s="225">
        <v>0</v>
      </c>
      <c r="M34" s="225">
        <v>1</v>
      </c>
      <c r="N34" s="225">
        <v>0</v>
      </c>
      <c r="O34" s="225">
        <v>3</v>
      </c>
      <c r="P34" s="225">
        <v>2</v>
      </c>
      <c r="Q34" s="192">
        <v>2</v>
      </c>
      <c r="R34" s="192">
        <v>1</v>
      </c>
      <c r="S34" s="192">
        <v>0</v>
      </c>
      <c r="T34" s="192">
        <v>0</v>
      </c>
      <c r="U34" s="192">
        <v>0</v>
      </c>
      <c r="V34" s="192">
        <v>0</v>
      </c>
      <c r="W34" s="192">
        <v>0</v>
      </c>
      <c r="X34" s="192">
        <v>0</v>
      </c>
      <c r="Y34" s="192">
        <v>0</v>
      </c>
      <c r="Z34" s="226">
        <v>0</v>
      </c>
    </row>
    <row r="35" spans="2:26" x14ac:dyDescent="0.25">
      <c r="B35" s="18" t="s">
        <v>44</v>
      </c>
      <c r="C35" s="192">
        <v>29</v>
      </c>
      <c r="D35" s="192">
        <v>16</v>
      </c>
      <c r="E35" s="192">
        <v>29</v>
      </c>
      <c r="F35" s="192">
        <v>5</v>
      </c>
      <c r="G35" s="192">
        <v>16</v>
      </c>
      <c r="H35" s="192">
        <v>19</v>
      </c>
      <c r="I35" s="192">
        <v>14</v>
      </c>
      <c r="J35" s="192">
        <v>8</v>
      </c>
      <c r="K35" s="192">
        <v>10</v>
      </c>
      <c r="L35" s="192">
        <v>3</v>
      </c>
      <c r="M35" s="192">
        <v>16</v>
      </c>
      <c r="N35" s="192">
        <v>11</v>
      </c>
      <c r="O35" s="192">
        <v>15</v>
      </c>
      <c r="P35" s="192">
        <v>9</v>
      </c>
      <c r="Q35" s="193">
        <v>1</v>
      </c>
      <c r="R35" s="193">
        <v>1</v>
      </c>
      <c r="S35" s="193">
        <v>0</v>
      </c>
      <c r="T35" s="193">
        <v>0</v>
      </c>
      <c r="U35" s="193">
        <v>1</v>
      </c>
      <c r="V35" s="193">
        <v>2</v>
      </c>
      <c r="W35" s="193">
        <v>0</v>
      </c>
      <c r="X35" s="193">
        <v>1</v>
      </c>
      <c r="Y35" s="193">
        <v>1</v>
      </c>
      <c r="Z35" s="227">
        <v>0</v>
      </c>
    </row>
    <row r="36" spans="2:26" ht="15.75" thickBot="1" x14ac:dyDescent="0.3">
      <c r="B36" s="18" t="s">
        <v>45</v>
      </c>
      <c r="C36" s="176">
        <v>1</v>
      </c>
      <c r="D36" s="176">
        <v>0</v>
      </c>
      <c r="E36" s="176">
        <v>2</v>
      </c>
      <c r="F36" s="176">
        <v>5</v>
      </c>
      <c r="G36" s="176">
        <v>2</v>
      </c>
      <c r="H36" s="176">
        <v>2</v>
      </c>
      <c r="I36" s="176">
        <v>0</v>
      </c>
      <c r="J36" s="176">
        <v>2</v>
      </c>
      <c r="K36" s="176">
        <v>1</v>
      </c>
      <c r="L36" s="176">
        <v>0</v>
      </c>
      <c r="M36" s="176">
        <v>1</v>
      </c>
      <c r="N36" s="176">
        <v>0</v>
      </c>
      <c r="O36" s="176">
        <v>1</v>
      </c>
      <c r="P36" s="176">
        <v>0</v>
      </c>
      <c r="Q36" s="184">
        <v>1</v>
      </c>
      <c r="R36" s="184">
        <v>1</v>
      </c>
      <c r="S36" s="184">
        <v>1</v>
      </c>
      <c r="T36" s="184">
        <v>0</v>
      </c>
      <c r="U36" s="184">
        <v>0</v>
      </c>
      <c r="V36" s="184">
        <v>0</v>
      </c>
      <c r="W36" s="184">
        <v>1</v>
      </c>
      <c r="X36" s="184">
        <v>0</v>
      </c>
      <c r="Y36" s="184">
        <v>0</v>
      </c>
      <c r="Z36" s="228">
        <v>1</v>
      </c>
    </row>
    <row r="37" spans="2:26" ht="15.75" thickTop="1" x14ac:dyDescent="0.25">
      <c r="B37" s="19" t="s">
        <v>46</v>
      </c>
      <c r="C37" s="190">
        <v>30</v>
      </c>
      <c r="D37" s="190">
        <v>18</v>
      </c>
      <c r="E37" s="190">
        <v>31</v>
      </c>
      <c r="F37" s="190">
        <v>10</v>
      </c>
      <c r="G37" s="190">
        <v>18</v>
      </c>
      <c r="H37" s="190">
        <v>21</v>
      </c>
      <c r="I37" s="190">
        <v>15</v>
      </c>
      <c r="J37" s="190">
        <v>11</v>
      </c>
      <c r="K37" s="190">
        <v>11</v>
      </c>
      <c r="L37" s="190">
        <v>3</v>
      </c>
      <c r="M37" s="190">
        <v>18</v>
      </c>
      <c r="N37" s="190">
        <v>11</v>
      </c>
      <c r="O37" s="190">
        <v>19</v>
      </c>
      <c r="P37" s="190">
        <v>11</v>
      </c>
      <c r="Q37" s="229">
        <f>Q34+Q35+Q36</f>
        <v>4</v>
      </c>
      <c r="R37" s="229">
        <f t="shared" ref="R37:W37" si="7">SUM(R34:R36)</f>
        <v>3</v>
      </c>
      <c r="S37" s="229">
        <f t="shared" si="7"/>
        <v>1</v>
      </c>
      <c r="T37" s="229">
        <f t="shared" si="7"/>
        <v>0</v>
      </c>
      <c r="U37" s="229">
        <f t="shared" si="7"/>
        <v>1</v>
      </c>
      <c r="V37" s="229">
        <f t="shared" si="7"/>
        <v>2</v>
      </c>
      <c r="W37" s="229">
        <f t="shared" si="7"/>
        <v>1</v>
      </c>
      <c r="X37" s="229">
        <f t="shared" ref="X37:Z37" si="8">SUM(X34:X36)</f>
        <v>1</v>
      </c>
      <c r="Y37" s="229">
        <f t="shared" si="8"/>
        <v>1</v>
      </c>
      <c r="Z37" s="230">
        <f t="shared" si="8"/>
        <v>1</v>
      </c>
    </row>
    <row r="38" spans="2:26" x14ac:dyDescent="0.25">
      <c r="B38" s="19"/>
      <c r="C38" s="190"/>
      <c r="D38" s="190"/>
      <c r="E38" s="190"/>
      <c r="F38" s="190"/>
      <c r="G38" s="190"/>
      <c r="H38" s="190"/>
      <c r="I38" s="190"/>
      <c r="J38" s="190"/>
      <c r="K38" s="190"/>
      <c r="L38" s="190"/>
      <c r="M38" s="190"/>
      <c r="N38" s="190"/>
      <c r="O38" s="190"/>
      <c r="P38" s="190"/>
      <c r="Q38" s="229"/>
      <c r="R38" s="229"/>
      <c r="S38" s="229"/>
      <c r="T38" s="229"/>
      <c r="U38" s="229"/>
      <c r="V38" s="229"/>
      <c r="W38" s="229"/>
      <c r="X38" s="195"/>
      <c r="Y38" s="195"/>
      <c r="Z38" s="196"/>
    </row>
    <row r="39" spans="2:26" x14ac:dyDescent="0.25">
      <c r="B39" s="18" t="s">
        <v>47</v>
      </c>
      <c r="C39" s="231">
        <v>9</v>
      </c>
      <c r="D39" s="231">
        <v>8</v>
      </c>
      <c r="E39" s="231">
        <v>5</v>
      </c>
      <c r="F39" s="231">
        <v>12</v>
      </c>
      <c r="G39" s="231">
        <v>20</v>
      </c>
      <c r="H39" s="231">
        <v>16</v>
      </c>
      <c r="I39" s="231">
        <v>12</v>
      </c>
      <c r="J39" s="231">
        <v>14</v>
      </c>
      <c r="K39" s="231">
        <v>9</v>
      </c>
      <c r="L39" s="231">
        <v>13</v>
      </c>
      <c r="M39" s="231">
        <v>12</v>
      </c>
      <c r="N39" s="192">
        <v>12</v>
      </c>
      <c r="O39" s="192">
        <v>9</v>
      </c>
      <c r="P39" s="192">
        <v>15</v>
      </c>
      <c r="Q39" s="193">
        <v>12</v>
      </c>
      <c r="R39" s="193">
        <v>16</v>
      </c>
      <c r="S39" s="193">
        <v>4</v>
      </c>
      <c r="T39" s="193">
        <v>5</v>
      </c>
      <c r="U39" s="193">
        <v>1</v>
      </c>
      <c r="V39" s="193">
        <v>11</v>
      </c>
      <c r="W39" s="193">
        <v>4</v>
      </c>
      <c r="X39" s="193">
        <v>1</v>
      </c>
      <c r="Y39" s="193">
        <v>1</v>
      </c>
      <c r="Z39" s="227">
        <v>2</v>
      </c>
    </row>
    <row r="40" spans="2:26" x14ac:dyDescent="0.25">
      <c r="B40" s="18" t="s">
        <v>48</v>
      </c>
      <c r="C40" s="231">
        <v>2</v>
      </c>
      <c r="D40" s="231">
        <v>2</v>
      </c>
      <c r="E40" s="231">
        <v>1</v>
      </c>
      <c r="F40" s="231">
        <v>2</v>
      </c>
      <c r="G40" s="231">
        <v>4</v>
      </c>
      <c r="H40" s="231">
        <v>4</v>
      </c>
      <c r="I40" s="231">
        <v>1</v>
      </c>
      <c r="J40" s="231">
        <v>6</v>
      </c>
      <c r="K40" s="231">
        <v>2</v>
      </c>
      <c r="L40" s="231">
        <v>1</v>
      </c>
      <c r="M40" s="231">
        <v>1</v>
      </c>
      <c r="N40" s="192">
        <v>3</v>
      </c>
      <c r="O40" s="192">
        <v>2</v>
      </c>
      <c r="P40" s="192">
        <v>2</v>
      </c>
      <c r="Q40" s="193">
        <v>3</v>
      </c>
      <c r="R40" s="193">
        <v>1</v>
      </c>
      <c r="S40" s="193">
        <v>1</v>
      </c>
      <c r="T40" s="193">
        <v>1</v>
      </c>
      <c r="U40" s="193">
        <v>0</v>
      </c>
      <c r="V40" s="193">
        <v>0</v>
      </c>
      <c r="W40" s="193">
        <v>1</v>
      </c>
      <c r="X40" s="193">
        <v>0</v>
      </c>
      <c r="Y40" s="193">
        <v>0</v>
      </c>
      <c r="Z40" s="227">
        <v>2</v>
      </c>
    </row>
    <row r="41" spans="2:26" ht="15.75" thickBot="1" x14ac:dyDescent="0.3">
      <c r="B41" s="18" t="s">
        <v>49</v>
      </c>
      <c r="C41" s="185">
        <v>3</v>
      </c>
      <c r="D41" s="185">
        <v>0</v>
      </c>
      <c r="E41" s="185">
        <v>0</v>
      </c>
      <c r="F41" s="185">
        <v>0</v>
      </c>
      <c r="G41" s="185">
        <v>1</v>
      </c>
      <c r="H41" s="185">
        <v>0</v>
      </c>
      <c r="I41" s="185">
        <v>0</v>
      </c>
      <c r="J41" s="185">
        <v>1</v>
      </c>
      <c r="K41" s="185">
        <v>0</v>
      </c>
      <c r="L41" s="185">
        <v>0</v>
      </c>
      <c r="M41" s="185">
        <v>0</v>
      </c>
      <c r="N41" s="185">
        <v>0</v>
      </c>
      <c r="O41" s="176">
        <v>0</v>
      </c>
      <c r="P41" s="176">
        <v>2</v>
      </c>
      <c r="Q41" s="184">
        <v>1</v>
      </c>
      <c r="R41" s="184">
        <v>0</v>
      </c>
      <c r="S41" s="184">
        <v>0</v>
      </c>
      <c r="T41" s="184">
        <v>0</v>
      </c>
      <c r="U41" s="184">
        <v>0</v>
      </c>
      <c r="V41" s="184">
        <v>0</v>
      </c>
      <c r="W41" s="184">
        <v>0</v>
      </c>
      <c r="X41" s="184">
        <v>0</v>
      </c>
      <c r="Y41" s="184">
        <v>0</v>
      </c>
      <c r="Z41" s="228">
        <v>0</v>
      </c>
    </row>
    <row r="42" spans="2:26" ht="15.75" thickTop="1" x14ac:dyDescent="0.25">
      <c r="B42" s="19" t="s">
        <v>50</v>
      </c>
      <c r="C42" s="232">
        <v>14</v>
      </c>
      <c r="D42" s="232">
        <v>10</v>
      </c>
      <c r="E42" s="232">
        <v>6</v>
      </c>
      <c r="F42" s="232">
        <v>14</v>
      </c>
      <c r="G42" s="232">
        <v>25</v>
      </c>
      <c r="H42" s="232">
        <v>20</v>
      </c>
      <c r="I42" s="232">
        <v>13</v>
      </c>
      <c r="J42" s="232">
        <v>21</v>
      </c>
      <c r="K42" s="232">
        <v>11</v>
      </c>
      <c r="L42" s="232">
        <v>14</v>
      </c>
      <c r="M42" s="232">
        <v>13</v>
      </c>
      <c r="N42" s="190">
        <v>15</v>
      </c>
      <c r="O42" s="190">
        <v>11</v>
      </c>
      <c r="P42" s="190">
        <v>19</v>
      </c>
      <c r="Q42" s="229">
        <f>Q41+Q40+Q39</f>
        <v>16</v>
      </c>
      <c r="R42" s="229">
        <f t="shared" ref="R42:X42" si="9">SUM(R39:R41)</f>
        <v>17</v>
      </c>
      <c r="S42" s="229">
        <f t="shared" si="9"/>
        <v>5</v>
      </c>
      <c r="T42" s="229">
        <f t="shared" si="9"/>
        <v>6</v>
      </c>
      <c r="U42" s="229">
        <f t="shared" si="9"/>
        <v>1</v>
      </c>
      <c r="V42" s="229">
        <f t="shared" si="9"/>
        <v>11</v>
      </c>
      <c r="W42" s="229">
        <f t="shared" si="9"/>
        <v>5</v>
      </c>
      <c r="X42" s="229">
        <f t="shared" si="9"/>
        <v>1</v>
      </c>
      <c r="Y42" s="229">
        <f t="shared" ref="Y42:Z42" si="10">SUM(Y39:Y41)</f>
        <v>1</v>
      </c>
      <c r="Z42" s="230">
        <f t="shared" si="10"/>
        <v>4</v>
      </c>
    </row>
    <row r="43" spans="2:26" x14ac:dyDescent="0.25">
      <c r="B43" s="19"/>
      <c r="C43" s="232"/>
      <c r="D43" s="232"/>
      <c r="E43" s="232"/>
      <c r="F43" s="232"/>
      <c r="G43" s="232"/>
      <c r="H43" s="232"/>
      <c r="I43" s="232"/>
      <c r="J43" s="232"/>
      <c r="K43" s="232"/>
      <c r="L43" s="232"/>
      <c r="M43" s="232"/>
      <c r="N43" s="190"/>
      <c r="O43" s="190"/>
      <c r="P43" s="190"/>
      <c r="Q43" s="229"/>
      <c r="R43" s="229"/>
      <c r="S43" s="229"/>
      <c r="T43" s="229"/>
      <c r="U43" s="229"/>
      <c r="V43" s="229"/>
      <c r="W43" s="229"/>
      <c r="X43" s="195"/>
      <c r="Y43" s="195"/>
      <c r="Z43" s="196"/>
    </row>
    <row r="44" spans="2:26" x14ac:dyDescent="0.25">
      <c r="B44" s="18" t="s">
        <v>51</v>
      </c>
      <c r="C44" s="192">
        <v>82</v>
      </c>
      <c r="D44" s="192">
        <v>86</v>
      </c>
      <c r="E44" s="192">
        <v>105</v>
      </c>
      <c r="F44" s="192">
        <v>104</v>
      </c>
      <c r="G44" s="192">
        <v>79</v>
      </c>
      <c r="H44" s="192">
        <v>76</v>
      </c>
      <c r="I44" s="192">
        <v>89</v>
      </c>
      <c r="J44" s="192">
        <v>71</v>
      </c>
      <c r="K44" s="192">
        <v>70</v>
      </c>
      <c r="L44" s="192">
        <v>73</v>
      </c>
      <c r="M44" s="192">
        <v>56</v>
      </c>
      <c r="N44" s="192">
        <v>52</v>
      </c>
      <c r="O44" s="192">
        <v>59</v>
      </c>
      <c r="P44" s="192">
        <v>51</v>
      </c>
      <c r="Q44" s="193">
        <v>42</v>
      </c>
      <c r="R44" s="193">
        <v>33</v>
      </c>
      <c r="S44" s="193">
        <v>29</v>
      </c>
      <c r="T44" s="193">
        <v>23</v>
      </c>
      <c r="U44" s="193">
        <v>23</v>
      </c>
      <c r="V44" s="193">
        <v>14</v>
      </c>
      <c r="W44" s="193">
        <v>10</v>
      </c>
      <c r="X44" s="193">
        <v>11</v>
      </c>
      <c r="Y44" s="193">
        <v>12</v>
      </c>
      <c r="Z44" s="227">
        <v>9</v>
      </c>
    </row>
    <row r="45" spans="2:26" ht="15.75" thickBot="1" x14ac:dyDescent="0.3">
      <c r="B45" s="18" t="s">
        <v>52</v>
      </c>
      <c r="C45" s="176">
        <v>12</v>
      </c>
      <c r="D45" s="176">
        <v>12</v>
      </c>
      <c r="E45" s="176">
        <v>14</v>
      </c>
      <c r="F45" s="176">
        <v>19</v>
      </c>
      <c r="G45" s="176">
        <v>21</v>
      </c>
      <c r="H45" s="176">
        <v>23</v>
      </c>
      <c r="I45" s="176">
        <v>23</v>
      </c>
      <c r="J45" s="176">
        <v>24</v>
      </c>
      <c r="K45" s="176">
        <v>23</v>
      </c>
      <c r="L45" s="176">
        <v>23</v>
      </c>
      <c r="M45" s="176">
        <v>24</v>
      </c>
      <c r="N45" s="176">
        <v>24</v>
      </c>
      <c r="O45" s="176">
        <v>25</v>
      </c>
      <c r="P45" s="176">
        <v>25</v>
      </c>
      <c r="Q45" s="184">
        <v>25</v>
      </c>
      <c r="R45" s="184">
        <v>26</v>
      </c>
      <c r="S45" s="184">
        <v>27</v>
      </c>
      <c r="T45" s="184">
        <v>27</v>
      </c>
      <c r="U45" s="184">
        <v>27</v>
      </c>
      <c r="V45" s="184">
        <v>27</v>
      </c>
      <c r="W45" s="184">
        <v>27</v>
      </c>
      <c r="X45" s="184">
        <v>26</v>
      </c>
      <c r="Y45" s="184">
        <v>25</v>
      </c>
      <c r="Z45" s="228">
        <v>25</v>
      </c>
    </row>
    <row r="46" spans="2:26" ht="15.75" customHeight="1" thickTop="1" thickBot="1" x14ac:dyDescent="0.3">
      <c r="B46" s="22" t="s">
        <v>53</v>
      </c>
      <c r="C46" s="233">
        <f>SUM(C44:C45)</f>
        <v>94</v>
      </c>
      <c r="D46" s="233">
        <f t="shared" ref="D46:Z46" si="11">SUM(D44:D45)</f>
        <v>98</v>
      </c>
      <c r="E46" s="233">
        <f t="shared" si="11"/>
        <v>119</v>
      </c>
      <c r="F46" s="233">
        <f t="shared" si="11"/>
        <v>123</v>
      </c>
      <c r="G46" s="233">
        <f t="shared" si="11"/>
        <v>100</v>
      </c>
      <c r="H46" s="233">
        <f t="shared" si="11"/>
        <v>99</v>
      </c>
      <c r="I46" s="233">
        <f t="shared" si="11"/>
        <v>112</v>
      </c>
      <c r="J46" s="233">
        <f t="shared" si="11"/>
        <v>95</v>
      </c>
      <c r="K46" s="233">
        <f t="shared" si="11"/>
        <v>93</v>
      </c>
      <c r="L46" s="233">
        <f t="shared" si="11"/>
        <v>96</v>
      </c>
      <c r="M46" s="233">
        <f t="shared" si="11"/>
        <v>80</v>
      </c>
      <c r="N46" s="233">
        <f t="shared" si="11"/>
        <v>76</v>
      </c>
      <c r="O46" s="233">
        <f t="shared" si="11"/>
        <v>84</v>
      </c>
      <c r="P46" s="233">
        <f t="shared" si="11"/>
        <v>76</v>
      </c>
      <c r="Q46" s="233">
        <f t="shared" si="11"/>
        <v>67</v>
      </c>
      <c r="R46" s="233">
        <f t="shared" si="11"/>
        <v>59</v>
      </c>
      <c r="S46" s="233">
        <f t="shared" si="11"/>
        <v>56</v>
      </c>
      <c r="T46" s="233">
        <f t="shared" si="11"/>
        <v>50</v>
      </c>
      <c r="U46" s="233">
        <f t="shared" si="11"/>
        <v>50</v>
      </c>
      <c r="V46" s="233">
        <f t="shared" si="11"/>
        <v>41</v>
      </c>
      <c r="W46" s="233">
        <f t="shared" si="11"/>
        <v>37</v>
      </c>
      <c r="X46" s="233">
        <f t="shared" si="11"/>
        <v>37</v>
      </c>
      <c r="Y46" s="233">
        <f t="shared" si="11"/>
        <v>37</v>
      </c>
      <c r="Z46" s="234">
        <f t="shared" si="11"/>
        <v>34</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072"/>
    <pageSetUpPr fitToPage="1"/>
  </sheetPr>
  <dimension ref="B1:U27"/>
  <sheetViews>
    <sheetView showGridLines="0" zoomScale="85" zoomScaleNormal="85" zoomScalePageLayoutView="85" workbookViewId="0"/>
  </sheetViews>
  <sheetFormatPr defaultColWidth="11.42578125" defaultRowHeight="15" x14ac:dyDescent="0.25"/>
  <cols>
    <col min="2" max="2" width="35.140625" customWidth="1"/>
    <col min="3" max="3" width="18.42578125" customWidth="1"/>
    <col min="4" max="5" width="11.42578125" customWidth="1"/>
    <col min="6" max="6" width="8.85546875" customWidth="1"/>
    <col min="7" max="8" width="11.42578125" customWidth="1"/>
    <col min="9" max="9" width="8.85546875" customWidth="1"/>
    <col min="10" max="11" width="11.42578125" customWidth="1"/>
    <col min="12" max="12" width="8.85546875" customWidth="1"/>
    <col min="13" max="14" width="11.42578125" customWidth="1"/>
    <col min="15" max="15" width="7.140625" customWidth="1"/>
    <col min="16" max="17" width="11.42578125" customWidth="1"/>
    <col min="18" max="18" width="7.140625" customWidth="1"/>
    <col min="19" max="20" width="11.42578125" customWidth="1"/>
    <col min="21" max="21" width="7.140625" customWidth="1"/>
  </cols>
  <sheetData>
    <row r="1" spans="2:21" ht="15" customHeight="1" x14ac:dyDescent="0.25"/>
    <row r="2" spans="2:21" ht="17.100000000000001" customHeight="1" x14ac:dyDescent="0.35">
      <c r="B2" s="242" t="s">
        <v>137</v>
      </c>
      <c r="C2" s="243"/>
      <c r="D2" s="243"/>
      <c r="E2" s="243"/>
      <c r="F2" s="243"/>
      <c r="G2" s="243"/>
      <c r="H2" s="243"/>
      <c r="I2" s="243"/>
      <c r="J2" s="243"/>
      <c r="K2" s="243"/>
      <c r="L2" s="243"/>
      <c r="M2" s="243"/>
      <c r="N2" s="243"/>
      <c r="O2" s="243"/>
      <c r="P2" s="243"/>
      <c r="Q2" s="243"/>
      <c r="R2" s="243"/>
      <c r="S2" s="243"/>
      <c r="T2" s="243"/>
      <c r="U2" s="243"/>
    </row>
    <row r="3" spans="2:21" ht="12" customHeight="1" x14ac:dyDescent="0.25"/>
    <row r="4" spans="2:21" ht="32.25" customHeight="1" x14ac:dyDescent="0.25">
      <c r="B4" s="244" t="s">
        <v>0</v>
      </c>
      <c r="C4" s="246" t="s">
        <v>1</v>
      </c>
      <c r="D4" s="248" t="s">
        <v>2</v>
      </c>
      <c r="E4" s="248"/>
      <c r="F4" s="248"/>
      <c r="G4" s="248" t="s">
        <v>3</v>
      </c>
      <c r="H4" s="248"/>
      <c r="I4" s="248"/>
      <c r="J4" s="248" t="s">
        <v>4</v>
      </c>
      <c r="K4" s="248"/>
      <c r="L4" s="248"/>
      <c r="M4" s="248" t="s">
        <v>5</v>
      </c>
      <c r="N4" s="248"/>
      <c r="O4" s="248"/>
      <c r="P4" s="248" t="s">
        <v>6</v>
      </c>
      <c r="Q4" s="248"/>
      <c r="R4" s="248"/>
      <c r="S4" s="248" t="s">
        <v>7</v>
      </c>
      <c r="T4" s="248"/>
      <c r="U4" s="249"/>
    </row>
    <row r="5" spans="2:21" ht="15" customHeight="1" x14ac:dyDescent="0.25">
      <c r="B5" s="245"/>
      <c r="C5" s="247"/>
      <c r="D5" s="23" t="s">
        <v>114</v>
      </c>
      <c r="E5" s="24" t="s">
        <v>21</v>
      </c>
      <c r="F5" s="25" t="s">
        <v>8</v>
      </c>
      <c r="G5" s="23" t="s">
        <v>114</v>
      </c>
      <c r="H5" s="24" t="s">
        <v>21</v>
      </c>
      <c r="I5" s="25" t="s">
        <v>8</v>
      </c>
      <c r="J5" s="23" t="s">
        <v>114</v>
      </c>
      <c r="K5" s="24" t="s">
        <v>21</v>
      </c>
      <c r="L5" s="25" t="s">
        <v>8</v>
      </c>
      <c r="M5" s="23" t="s">
        <v>114</v>
      </c>
      <c r="N5" s="24" t="s">
        <v>21</v>
      </c>
      <c r="O5" s="25" t="s">
        <v>8</v>
      </c>
      <c r="P5" s="23" t="s">
        <v>114</v>
      </c>
      <c r="Q5" s="24" t="s">
        <v>21</v>
      </c>
      <c r="R5" s="25" t="s">
        <v>8</v>
      </c>
      <c r="S5" s="23" t="s">
        <v>114</v>
      </c>
      <c r="T5" s="24" t="s">
        <v>21</v>
      </c>
      <c r="U5" s="26" t="s">
        <v>8</v>
      </c>
    </row>
    <row r="6" spans="2:21" x14ac:dyDescent="0.25">
      <c r="B6" s="30" t="s">
        <v>138</v>
      </c>
      <c r="C6" s="35" t="s">
        <v>139</v>
      </c>
      <c r="D6" s="29">
        <v>0.84609999999999996</v>
      </c>
      <c r="E6" s="29">
        <v>5.3218087230000002</v>
      </c>
      <c r="F6" s="29">
        <v>31.008412419999999</v>
      </c>
      <c r="G6" s="37">
        <v>1.0444</v>
      </c>
      <c r="H6" s="29">
        <v>6.569078159</v>
      </c>
      <c r="I6" s="29">
        <v>38.275837289999998</v>
      </c>
      <c r="J6" s="37">
        <v>1.1967000000000001</v>
      </c>
      <c r="K6" s="29">
        <v>7.5270163090000004</v>
      </c>
      <c r="L6" s="29">
        <v>43.857424829999999</v>
      </c>
      <c r="M6" s="37">
        <v>7.4099999999999999E-2</v>
      </c>
      <c r="N6" s="29">
        <v>0.46607496300000001</v>
      </c>
      <c r="O6" s="29">
        <v>2.7156640589999999</v>
      </c>
      <c r="P6" s="37">
        <v>0.27239999999999998</v>
      </c>
      <c r="Q6" s="29">
        <v>1.7133443989999999</v>
      </c>
      <c r="R6" s="29">
        <v>9.9830889299999992</v>
      </c>
      <c r="S6" s="37">
        <v>0.42470000000000002</v>
      </c>
      <c r="T6" s="29">
        <v>2.6712825489999998</v>
      </c>
      <c r="U6" s="32">
        <v>15.564676459999999</v>
      </c>
    </row>
    <row r="7" spans="2:21" x14ac:dyDescent="0.25">
      <c r="B7" s="31" t="s">
        <v>140</v>
      </c>
      <c r="C7" s="36" t="s">
        <v>139</v>
      </c>
      <c r="D7" s="34">
        <v>0.224</v>
      </c>
      <c r="E7" s="34">
        <v>1.4089175679999999</v>
      </c>
      <c r="F7" s="34">
        <v>8.4113133040000001</v>
      </c>
      <c r="G7" s="38">
        <v>0.25269999999999998</v>
      </c>
      <c r="H7" s="34">
        <v>1.5894351309999999</v>
      </c>
      <c r="I7" s="34">
        <v>9.4890128209999993</v>
      </c>
      <c r="J7" s="38">
        <v>0.27860000000000001</v>
      </c>
      <c r="K7" s="34">
        <v>1.7523412249999999</v>
      </c>
      <c r="L7" s="34">
        <v>10.46157092</v>
      </c>
      <c r="M7" s="38">
        <v>1.4999999999999999E-2</v>
      </c>
      <c r="N7" s="34">
        <v>9.4347159E-2</v>
      </c>
      <c r="O7" s="34">
        <v>0.56325758699999995</v>
      </c>
      <c r="P7" s="38">
        <v>4.3700000000000003E-2</v>
      </c>
      <c r="Q7" s="34">
        <v>0.27486472200000001</v>
      </c>
      <c r="R7" s="34">
        <v>1.6409571039999999</v>
      </c>
      <c r="S7" s="38">
        <v>6.9599999999999995E-2</v>
      </c>
      <c r="T7" s="34">
        <v>0.43777081600000001</v>
      </c>
      <c r="U7" s="33">
        <v>2.6135152050000001</v>
      </c>
    </row>
    <row r="8" spans="2:21" x14ac:dyDescent="0.25">
      <c r="B8" s="31" t="s">
        <v>141</v>
      </c>
      <c r="C8" s="36" t="s">
        <v>139</v>
      </c>
      <c r="D8" s="34">
        <v>0.1067</v>
      </c>
      <c r="E8" s="34">
        <v>0.67112278800000003</v>
      </c>
      <c r="F8" s="34">
        <v>3.9389367759999998</v>
      </c>
      <c r="G8" s="38">
        <v>0.11310000000000001</v>
      </c>
      <c r="H8" s="34">
        <v>0.71137757599999996</v>
      </c>
      <c r="I8" s="34">
        <v>4.1751991500000001</v>
      </c>
      <c r="J8" s="38">
        <v>0.1195</v>
      </c>
      <c r="K8" s="34">
        <v>0.75163236300000003</v>
      </c>
      <c r="L8" s="34">
        <v>4.411461525</v>
      </c>
      <c r="M8" s="38">
        <v>1.4E-2</v>
      </c>
      <c r="N8" s="34">
        <v>8.8057347999999994E-2</v>
      </c>
      <c r="O8" s="34">
        <v>0.51682394399999998</v>
      </c>
      <c r="P8" s="38">
        <v>2.0299999999999999E-2</v>
      </c>
      <c r="Q8" s="34">
        <v>0.12768315499999999</v>
      </c>
      <c r="R8" s="34">
        <v>0.74939471899999999</v>
      </c>
      <c r="S8" s="38">
        <v>2.6700000000000002E-2</v>
      </c>
      <c r="T8" s="34">
        <v>0.16793794200000001</v>
      </c>
      <c r="U8" s="33">
        <v>0.98565709400000001</v>
      </c>
    </row>
    <row r="9" spans="2:21" x14ac:dyDescent="0.25">
      <c r="B9" s="31" t="s">
        <v>142</v>
      </c>
      <c r="C9" s="36" t="s">
        <v>143</v>
      </c>
      <c r="D9" s="34">
        <v>1.9271</v>
      </c>
      <c r="E9" s="34">
        <v>12.121093951000001</v>
      </c>
      <c r="F9" s="34">
        <v>58.933421410000001</v>
      </c>
      <c r="G9" s="38">
        <v>1.9993000000000001</v>
      </c>
      <c r="H9" s="34">
        <v>12.575218271000001</v>
      </c>
      <c r="I9" s="34">
        <v>61.141367801999998</v>
      </c>
      <c r="J9" s="38">
        <v>2.0689000000000002</v>
      </c>
      <c r="K9" s="34">
        <v>13.012989092</v>
      </c>
      <c r="L9" s="34">
        <v>63.269803668999998</v>
      </c>
      <c r="M9" s="38">
        <v>0.21429999999999999</v>
      </c>
      <c r="N9" s="34">
        <v>1.347906405</v>
      </c>
      <c r="O9" s="34">
        <v>6.5535029529999997</v>
      </c>
      <c r="P9" s="38">
        <v>0.28649999999999998</v>
      </c>
      <c r="Q9" s="34">
        <v>1.8020307289999999</v>
      </c>
      <c r="R9" s="34">
        <v>8.7614493519999996</v>
      </c>
      <c r="S9" s="38">
        <v>0.35610000000000003</v>
      </c>
      <c r="T9" s="34">
        <v>2.2398015440000001</v>
      </c>
      <c r="U9" s="33">
        <v>10.889885216</v>
      </c>
    </row>
    <row r="10" spans="2:21" x14ac:dyDescent="0.25">
      <c r="B10" s="31" t="s">
        <v>144</v>
      </c>
      <c r="C10" s="36" t="s">
        <v>145</v>
      </c>
      <c r="D10" s="34">
        <v>11.0047</v>
      </c>
      <c r="E10" s="34">
        <v>69.217478380000003</v>
      </c>
      <c r="F10" s="34">
        <v>377.41462200000001</v>
      </c>
      <c r="G10" s="38">
        <v>11.087400000000001</v>
      </c>
      <c r="H10" s="34">
        <v>69.737645709999995</v>
      </c>
      <c r="I10" s="34">
        <v>380.25088190000002</v>
      </c>
      <c r="J10" s="38">
        <v>11.1492</v>
      </c>
      <c r="K10" s="34">
        <v>70.126356009999995</v>
      </c>
      <c r="L10" s="34">
        <v>382.37036019999999</v>
      </c>
      <c r="M10" s="38">
        <v>0.14319999999999999</v>
      </c>
      <c r="N10" s="34">
        <v>0.90070087399999998</v>
      </c>
      <c r="O10" s="34">
        <v>4.9111537670000001</v>
      </c>
      <c r="P10" s="38">
        <v>0.22589999999999999</v>
      </c>
      <c r="Q10" s="34">
        <v>1.4208682079999999</v>
      </c>
      <c r="R10" s="34">
        <v>7.7474136600000003</v>
      </c>
      <c r="S10" s="38">
        <v>0.28770000000000001</v>
      </c>
      <c r="T10" s="34">
        <v>1.8095785010000001</v>
      </c>
      <c r="U10" s="33">
        <v>9.8668920310000008</v>
      </c>
    </row>
    <row r="11" spans="2:21" x14ac:dyDescent="0.25">
      <c r="B11" s="31" t="s">
        <v>146</v>
      </c>
      <c r="C11" s="36" t="s">
        <v>143</v>
      </c>
      <c r="D11" s="34">
        <v>0.28720000000000001</v>
      </c>
      <c r="E11" s="34">
        <v>1.8064335949999999</v>
      </c>
      <c r="F11" s="34">
        <v>10.577073647000001</v>
      </c>
      <c r="G11" s="38">
        <v>0.28720000000000001</v>
      </c>
      <c r="H11" s="34">
        <v>1.8064335949999999</v>
      </c>
      <c r="I11" s="34">
        <v>10.577073647000001</v>
      </c>
      <c r="J11" s="38">
        <v>0.28720000000000001</v>
      </c>
      <c r="K11" s="34">
        <v>1.8064335949999999</v>
      </c>
      <c r="L11" s="34">
        <v>10.577073647000001</v>
      </c>
      <c r="M11" s="38">
        <v>0</v>
      </c>
      <c r="N11" s="34">
        <v>0</v>
      </c>
      <c r="O11" s="34">
        <v>0</v>
      </c>
      <c r="P11" s="38">
        <v>0</v>
      </c>
      <c r="Q11" s="34">
        <v>0</v>
      </c>
      <c r="R11" s="34">
        <v>0</v>
      </c>
      <c r="S11" s="38">
        <v>0</v>
      </c>
      <c r="T11" s="34">
        <v>0</v>
      </c>
      <c r="U11" s="33">
        <v>0</v>
      </c>
    </row>
    <row r="12" spans="2:21" x14ac:dyDescent="0.25">
      <c r="B12" s="31" t="s">
        <v>147</v>
      </c>
      <c r="C12" s="36" t="s">
        <v>145</v>
      </c>
      <c r="D12" s="34">
        <v>0.30819999999999997</v>
      </c>
      <c r="E12" s="34">
        <v>1.9385196179999999</v>
      </c>
      <c r="F12" s="34">
        <v>11.63423324</v>
      </c>
      <c r="G12" s="38">
        <v>0.33189999999999997</v>
      </c>
      <c r="H12" s="34">
        <v>2.0875881280000002</v>
      </c>
      <c r="I12" s="34">
        <v>12.528883889999999</v>
      </c>
      <c r="J12" s="38">
        <v>0.3473</v>
      </c>
      <c r="K12" s="34">
        <v>2.1844512109999998</v>
      </c>
      <c r="L12" s="34">
        <v>13.110218059999999</v>
      </c>
      <c r="M12" s="38">
        <v>2.1299999999999999E-2</v>
      </c>
      <c r="N12" s="34">
        <v>0.133972965</v>
      </c>
      <c r="O12" s="34">
        <v>0.80405310900000004</v>
      </c>
      <c r="P12" s="38">
        <v>4.4999999999999998E-2</v>
      </c>
      <c r="Q12" s="34">
        <v>0.28304147600000001</v>
      </c>
      <c r="R12" s="34">
        <v>1.698703751</v>
      </c>
      <c r="S12" s="38">
        <v>6.0400000000000002E-2</v>
      </c>
      <c r="T12" s="34">
        <v>0.379904558</v>
      </c>
      <c r="U12" s="33">
        <v>2.2800379230000001</v>
      </c>
    </row>
    <row r="13" spans="2:21" x14ac:dyDescent="0.25">
      <c r="B13" s="31" t="s">
        <v>148</v>
      </c>
      <c r="C13" s="36" t="s">
        <v>145</v>
      </c>
      <c r="D13" s="34">
        <v>2.9588999999999999</v>
      </c>
      <c r="E13" s="34">
        <v>18.610920499999999</v>
      </c>
      <c r="F13" s="34">
        <v>99.371157719999999</v>
      </c>
      <c r="G13" s="38">
        <v>3.0335999999999999</v>
      </c>
      <c r="H13" s="34">
        <v>19.080769350000001</v>
      </c>
      <c r="I13" s="34">
        <v>101.87986890000001</v>
      </c>
      <c r="J13" s="38">
        <v>3.1065</v>
      </c>
      <c r="K13" s="34">
        <v>19.539296539999999</v>
      </c>
      <c r="L13" s="34">
        <v>104.32812920000001</v>
      </c>
      <c r="M13" s="38">
        <v>0.1227</v>
      </c>
      <c r="N13" s="34">
        <v>0.77175975699999999</v>
      </c>
      <c r="O13" s="34">
        <v>4.120734412</v>
      </c>
      <c r="P13" s="38">
        <v>0.19750000000000001</v>
      </c>
      <c r="Q13" s="34">
        <v>1.2422375880000001</v>
      </c>
      <c r="R13" s="34">
        <v>6.6328039639999998</v>
      </c>
      <c r="S13" s="38">
        <v>0.27029999999999998</v>
      </c>
      <c r="T13" s="34">
        <v>1.7001357969999999</v>
      </c>
      <c r="U13" s="33">
        <v>9.077705881</v>
      </c>
    </row>
    <row r="14" spans="2:21" x14ac:dyDescent="0.25">
      <c r="B14" s="31" t="s">
        <v>149</v>
      </c>
      <c r="C14" s="36" t="s">
        <v>139</v>
      </c>
      <c r="D14" s="34">
        <v>8.8584999999999994</v>
      </c>
      <c r="E14" s="34">
        <v>55.718286933999998</v>
      </c>
      <c r="F14" s="34">
        <v>342.56930082999997</v>
      </c>
      <c r="G14" s="38">
        <v>9.3583999999999996</v>
      </c>
      <c r="H14" s="34">
        <v>58.86256324</v>
      </c>
      <c r="I14" s="34">
        <v>361.90106054</v>
      </c>
      <c r="J14" s="38">
        <v>10.2285</v>
      </c>
      <c r="K14" s="34">
        <v>64.335327410999994</v>
      </c>
      <c r="L14" s="34">
        <v>395.54891844999997</v>
      </c>
      <c r="M14" s="38">
        <v>0.74</v>
      </c>
      <c r="N14" s="34">
        <v>4.6544598229999998</v>
      </c>
      <c r="O14" s="34">
        <v>28.616727732000001</v>
      </c>
      <c r="P14" s="38">
        <v>1.24</v>
      </c>
      <c r="Q14" s="34">
        <v>7.7993651059999998</v>
      </c>
      <c r="R14" s="34">
        <v>47.952354579999998</v>
      </c>
      <c r="S14" s="38">
        <v>2.11</v>
      </c>
      <c r="T14" s="34">
        <v>13.271500303</v>
      </c>
      <c r="U14" s="33">
        <v>81.596345296999999</v>
      </c>
    </row>
    <row r="15" spans="2:21" x14ac:dyDescent="0.25">
      <c r="B15" s="31" t="s">
        <v>150</v>
      </c>
      <c r="C15" s="36" t="s">
        <v>145</v>
      </c>
      <c r="D15" s="34">
        <v>1.9388000000000001</v>
      </c>
      <c r="E15" s="34">
        <v>12.194684731000001</v>
      </c>
      <c r="F15" s="34">
        <v>77.983033388999999</v>
      </c>
      <c r="G15" s="38">
        <v>2.1131000000000002</v>
      </c>
      <c r="H15" s="34">
        <v>13.290998717000001</v>
      </c>
      <c r="I15" s="34">
        <v>84.993783708999999</v>
      </c>
      <c r="J15" s="38">
        <v>2.3479999999999999</v>
      </c>
      <c r="K15" s="34">
        <v>14.768475216000001</v>
      </c>
      <c r="L15" s="34">
        <v>94.442006595999999</v>
      </c>
      <c r="M15" s="38">
        <v>0.16900000000000001</v>
      </c>
      <c r="N15" s="34">
        <v>1.0629779859999999</v>
      </c>
      <c r="O15" s="34">
        <v>6.797572025</v>
      </c>
      <c r="P15" s="38">
        <v>0.34320000000000001</v>
      </c>
      <c r="Q15" s="34">
        <v>2.1586629880000001</v>
      </c>
      <c r="R15" s="34">
        <v>13.804300113</v>
      </c>
      <c r="S15" s="38">
        <v>0.57820000000000005</v>
      </c>
      <c r="T15" s="34">
        <v>3.636768472</v>
      </c>
      <c r="U15" s="33">
        <v>23.256545241000001</v>
      </c>
    </row>
    <row r="16" spans="2:21" x14ac:dyDescent="0.25">
      <c r="B16" s="31" t="s">
        <v>151</v>
      </c>
      <c r="C16" s="36" t="s">
        <v>143</v>
      </c>
      <c r="D16" s="34">
        <v>36.524700000000003</v>
      </c>
      <c r="E16" s="34">
        <v>229.73344408400001</v>
      </c>
      <c r="F16" s="34">
        <v>1319.599180011</v>
      </c>
      <c r="G16" s="38">
        <v>36.5657</v>
      </c>
      <c r="H16" s="34">
        <v>229.99132639499999</v>
      </c>
      <c r="I16" s="34">
        <v>1321.068220875</v>
      </c>
      <c r="J16" s="38">
        <v>36.587699999999998</v>
      </c>
      <c r="K16" s="34">
        <v>230.129702216</v>
      </c>
      <c r="L16" s="34">
        <v>1321.8564866050001</v>
      </c>
      <c r="M16" s="38">
        <v>0</v>
      </c>
      <c r="N16" s="34">
        <v>0</v>
      </c>
      <c r="O16" s="34">
        <v>0</v>
      </c>
      <c r="P16" s="38">
        <v>4.1000000000000002E-2</v>
      </c>
      <c r="Q16" s="34">
        <v>0.25788223399999999</v>
      </c>
      <c r="R16" s="34">
        <v>1.469040849</v>
      </c>
      <c r="S16" s="38">
        <v>6.3E-2</v>
      </c>
      <c r="T16" s="34">
        <v>0.39625806600000002</v>
      </c>
      <c r="U16" s="33">
        <v>2.2573066709999998</v>
      </c>
    </row>
    <row r="17" spans="2:21" x14ac:dyDescent="0.25">
      <c r="B17" s="31" t="s">
        <v>152</v>
      </c>
      <c r="C17" s="36" t="s">
        <v>143</v>
      </c>
      <c r="D17" s="34">
        <v>7.5301</v>
      </c>
      <c r="E17" s="34">
        <v>47.362902570000003</v>
      </c>
      <c r="F17" s="34">
        <v>286.5401645</v>
      </c>
      <c r="G17" s="38">
        <v>7.5316999999999998</v>
      </c>
      <c r="H17" s="34">
        <v>47.372966269999999</v>
      </c>
      <c r="I17" s="34">
        <v>286.6010488</v>
      </c>
      <c r="J17" s="38">
        <v>7.5324999999999998</v>
      </c>
      <c r="K17" s="34">
        <v>47.377998120000001</v>
      </c>
      <c r="L17" s="34">
        <v>286.63149090000002</v>
      </c>
      <c r="M17" s="38">
        <v>8.9999999999999998E-4</v>
      </c>
      <c r="N17" s="34">
        <v>5.6608300000000004E-3</v>
      </c>
      <c r="O17" s="34">
        <v>3.4247373999999997E-2</v>
      </c>
      <c r="P17" s="38">
        <v>2.5000000000000001E-3</v>
      </c>
      <c r="Q17" s="34">
        <v>1.5724525999999999E-2</v>
      </c>
      <c r="R17" s="34">
        <v>9.5131593E-2</v>
      </c>
      <c r="S17" s="38">
        <v>3.3E-3</v>
      </c>
      <c r="T17" s="34">
        <v>2.0756375000000001E-2</v>
      </c>
      <c r="U17" s="33">
        <v>0.12557370300000001</v>
      </c>
    </row>
    <row r="18" spans="2:21" x14ac:dyDescent="0.25">
      <c r="B18" s="31" t="s">
        <v>153</v>
      </c>
      <c r="C18" s="36" t="s">
        <v>145</v>
      </c>
      <c r="D18" s="34">
        <v>8.6920000000000002</v>
      </c>
      <c r="E18" s="34">
        <v>54.671033469999998</v>
      </c>
      <c r="F18" s="34">
        <v>304.40452699999997</v>
      </c>
      <c r="G18" s="38">
        <v>8.7720000000000002</v>
      </c>
      <c r="H18" s="34">
        <v>55.174218320000001</v>
      </c>
      <c r="I18" s="34">
        <v>307.20622539999999</v>
      </c>
      <c r="J18" s="38">
        <v>8.8819999999999997</v>
      </c>
      <c r="K18" s="34">
        <v>55.866097480000001</v>
      </c>
      <c r="L18" s="34">
        <v>311.05856060000002</v>
      </c>
      <c r="M18" s="38">
        <v>0.09</v>
      </c>
      <c r="N18" s="34">
        <v>0.56608295099999995</v>
      </c>
      <c r="O18" s="34">
        <v>3.1519106570000002</v>
      </c>
      <c r="P18" s="38">
        <v>0.17</v>
      </c>
      <c r="Q18" s="34">
        <v>1.069267797</v>
      </c>
      <c r="R18" s="34">
        <v>5.9536090189999999</v>
      </c>
      <c r="S18" s="38">
        <v>0.28000000000000003</v>
      </c>
      <c r="T18" s="34">
        <v>1.76114696</v>
      </c>
      <c r="U18" s="33">
        <v>9.8059442659999991</v>
      </c>
    </row>
    <row r="19" spans="2:21" x14ac:dyDescent="0.25">
      <c r="B19" s="31" t="s">
        <v>154</v>
      </c>
      <c r="C19" s="36" t="s">
        <v>145</v>
      </c>
      <c r="D19" s="34">
        <v>3.78E-2</v>
      </c>
      <c r="E19" s="34">
        <v>0.23775484</v>
      </c>
      <c r="F19" s="34">
        <v>1.165240681</v>
      </c>
      <c r="G19" s="38">
        <v>5.3400000000000003E-2</v>
      </c>
      <c r="H19" s="34">
        <v>0.33587588400000001</v>
      </c>
      <c r="I19" s="34">
        <v>1.6461336609999999</v>
      </c>
      <c r="J19" s="38">
        <v>7.3899999999999993E-2</v>
      </c>
      <c r="K19" s="34">
        <v>0.46481700100000001</v>
      </c>
      <c r="L19" s="34">
        <v>2.2780763579999999</v>
      </c>
      <c r="M19" s="38">
        <v>2.1100000000000001E-2</v>
      </c>
      <c r="N19" s="34">
        <v>0.132715003</v>
      </c>
      <c r="O19" s="34">
        <v>0.65043858099999996</v>
      </c>
      <c r="P19" s="38">
        <v>3.6700000000000003E-2</v>
      </c>
      <c r="Q19" s="34">
        <v>0.23083604799999999</v>
      </c>
      <c r="R19" s="34">
        <v>1.1313315610000001</v>
      </c>
      <c r="S19" s="38">
        <v>5.7200000000000001E-2</v>
      </c>
      <c r="T19" s="34">
        <v>0.35977716500000001</v>
      </c>
      <c r="U19" s="33">
        <v>1.763274258</v>
      </c>
    </row>
    <row r="20" spans="2:21" x14ac:dyDescent="0.25">
      <c r="B20" s="31" t="s">
        <v>155</v>
      </c>
      <c r="C20" s="36" t="s">
        <v>139</v>
      </c>
      <c r="D20" s="34">
        <v>0.12939999999999999</v>
      </c>
      <c r="E20" s="34">
        <v>0.81390148799999995</v>
      </c>
      <c r="F20" s="34">
        <v>4.8088727349999996</v>
      </c>
      <c r="G20" s="38">
        <v>0.12939999999999999</v>
      </c>
      <c r="H20" s="34">
        <v>0.81390148799999995</v>
      </c>
      <c r="I20" s="34">
        <v>4.8088727349999996</v>
      </c>
      <c r="J20" s="38">
        <v>0.12939999999999999</v>
      </c>
      <c r="K20" s="34">
        <v>0.81390148799999995</v>
      </c>
      <c r="L20" s="34">
        <v>4.8088727349999996</v>
      </c>
      <c r="M20" s="38">
        <v>0</v>
      </c>
      <c r="N20" s="34">
        <v>0</v>
      </c>
      <c r="O20" s="34">
        <v>0</v>
      </c>
      <c r="P20" s="38">
        <v>0</v>
      </c>
      <c r="Q20" s="34">
        <v>0</v>
      </c>
      <c r="R20" s="34">
        <v>0</v>
      </c>
      <c r="S20" s="38">
        <v>0</v>
      </c>
      <c r="T20" s="34">
        <v>0</v>
      </c>
      <c r="U20" s="33">
        <v>0</v>
      </c>
    </row>
    <row r="21" spans="2:21" x14ac:dyDescent="0.25">
      <c r="B21" s="31" t="s">
        <v>156</v>
      </c>
      <c r="C21" s="36" t="s">
        <v>139</v>
      </c>
      <c r="D21" s="34">
        <v>9.2499999999999999E-2</v>
      </c>
      <c r="E21" s="34">
        <v>0.58180747799999999</v>
      </c>
      <c r="F21" s="34">
        <v>3.5290342269999999</v>
      </c>
      <c r="G21" s="38">
        <v>0.1101</v>
      </c>
      <c r="H21" s="34">
        <v>0.69250814400000005</v>
      </c>
      <c r="I21" s="34">
        <v>4.2005045240000003</v>
      </c>
      <c r="J21" s="38">
        <v>0.1293</v>
      </c>
      <c r="K21" s="34">
        <v>0.81327250699999998</v>
      </c>
      <c r="L21" s="34">
        <v>4.933017574</v>
      </c>
      <c r="M21" s="38">
        <v>2.52E-2</v>
      </c>
      <c r="N21" s="34">
        <v>0.158503226</v>
      </c>
      <c r="O21" s="34">
        <v>0.96142337899999997</v>
      </c>
      <c r="P21" s="38">
        <v>4.2799999999999998E-2</v>
      </c>
      <c r="Q21" s="34">
        <v>0.269203892</v>
      </c>
      <c r="R21" s="34">
        <v>1.632893675</v>
      </c>
      <c r="S21" s="38">
        <v>6.2E-2</v>
      </c>
      <c r="T21" s="34">
        <v>0.38996825499999999</v>
      </c>
      <c r="U21" s="33">
        <v>2.3654067250000002</v>
      </c>
    </row>
    <row r="22" spans="2:21" x14ac:dyDescent="0.25">
      <c r="B22" s="31" t="s">
        <v>157</v>
      </c>
      <c r="C22" s="36" t="s">
        <v>139</v>
      </c>
      <c r="D22" s="34">
        <v>3.3799999999999997E-2</v>
      </c>
      <c r="E22" s="34">
        <v>0.212595597</v>
      </c>
      <c r="F22" s="34">
        <v>1.1680382069999999</v>
      </c>
      <c r="G22" s="38">
        <v>3.5999999999999997E-2</v>
      </c>
      <c r="H22" s="34">
        <v>0.22643318100000001</v>
      </c>
      <c r="I22" s="34">
        <v>1.2440643629999999</v>
      </c>
      <c r="J22" s="38">
        <v>3.8199999999999998E-2</v>
      </c>
      <c r="K22" s="34">
        <v>0.240270764</v>
      </c>
      <c r="L22" s="34">
        <v>1.320090518</v>
      </c>
      <c r="M22" s="38">
        <v>1.9E-3</v>
      </c>
      <c r="N22" s="34">
        <v>1.195064E-2</v>
      </c>
      <c r="O22" s="34">
        <v>6.5658952000000007E-2</v>
      </c>
      <c r="P22" s="38">
        <v>4.1000000000000003E-3</v>
      </c>
      <c r="Q22" s="34">
        <v>2.5788222999999999E-2</v>
      </c>
      <c r="R22" s="34">
        <v>0.141685108</v>
      </c>
      <c r="S22" s="38">
        <v>6.3E-3</v>
      </c>
      <c r="T22" s="34">
        <v>3.9625806999999999E-2</v>
      </c>
      <c r="U22" s="33">
        <v>0.21771126399999999</v>
      </c>
    </row>
    <row r="23" spans="2:21" x14ac:dyDescent="0.25">
      <c r="B23" s="31" t="s">
        <v>158</v>
      </c>
      <c r="C23" s="36" t="s">
        <v>145</v>
      </c>
      <c r="D23" s="34">
        <v>0.32090000000000002</v>
      </c>
      <c r="E23" s="34">
        <v>2.018400212</v>
      </c>
      <c r="F23" s="34">
        <v>11.5243839</v>
      </c>
      <c r="G23" s="38">
        <v>0.3241</v>
      </c>
      <c r="H23" s="34">
        <v>2.0385276060000002</v>
      </c>
      <c r="I23" s="34">
        <v>11.63930452</v>
      </c>
      <c r="J23" s="38">
        <v>0.32729999999999998</v>
      </c>
      <c r="K23" s="34">
        <v>2.0586549999999999</v>
      </c>
      <c r="L23" s="34">
        <v>11.75422515</v>
      </c>
      <c r="M23" s="38">
        <v>1.9099999999999999E-2</v>
      </c>
      <c r="N23" s="34">
        <v>0.120135382</v>
      </c>
      <c r="O23" s="34">
        <v>0.68593247899999998</v>
      </c>
      <c r="P23" s="38">
        <v>2.23E-2</v>
      </c>
      <c r="Q23" s="34">
        <v>0.14026277600000001</v>
      </c>
      <c r="R23" s="34">
        <v>0.80085310399999998</v>
      </c>
      <c r="S23" s="38">
        <v>2.5399999999999999E-2</v>
      </c>
      <c r="T23" s="34">
        <v>0.159761189</v>
      </c>
      <c r="U23" s="33">
        <v>0.91218245899999995</v>
      </c>
    </row>
    <row r="24" spans="2:21" x14ac:dyDescent="0.25">
      <c r="B24" s="31" t="s">
        <v>159</v>
      </c>
      <c r="C24" s="36" t="s">
        <v>145</v>
      </c>
      <c r="D24" s="34">
        <v>2.5811999999999999</v>
      </c>
      <c r="E24" s="34">
        <v>16.235259043999999</v>
      </c>
      <c r="F24" s="34">
        <v>77.609877879999999</v>
      </c>
      <c r="G24" s="38">
        <v>3.2780999999999998</v>
      </c>
      <c r="H24" s="34">
        <v>20.618628034</v>
      </c>
      <c r="I24" s="34">
        <v>98.563823290000002</v>
      </c>
      <c r="J24" s="38">
        <v>3.9897999999999998</v>
      </c>
      <c r="K24" s="34">
        <v>25.095086211000002</v>
      </c>
      <c r="L24" s="34">
        <v>119.96276563000001</v>
      </c>
      <c r="M24" s="38">
        <v>1.3333999999999999</v>
      </c>
      <c r="N24" s="34">
        <v>8.3868334139999998</v>
      </c>
      <c r="O24" s="34">
        <v>40.091822088000001</v>
      </c>
      <c r="P24" s="38">
        <v>2.0303</v>
      </c>
      <c r="Q24" s="34">
        <v>12.770202404000001</v>
      </c>
      <c r="R24" s="34">
        <v>61.045767490000003</v>
      </c>
      <c r="S24" s="38">
        <v>2.742</v>
      </c>
      <c r="T24" s="34">
        <v>17.246660582000001</v>
      </c>
      <c r="U24" s="33">
        <v>82.444709889999999</v>
      </c>
    </row>
    <row r="25" spans="2:21" x14ac:dyDescent="0.25">
      <c r="B25" s="31" t="s">
        <v>160</v>
      </c>
      <c r="C25" s="36" t="s">
        <v>139</v>
      </c>
      <c r="D25" s="34">
        <v>3.9108999999999998</v>
      </c>
      <c r="E25" s="34">
        <v>24.598820159999999</v>
      </c>
      <c r="F25" s="34">
        <v>146.27704790000001</v>
      </c>
      <c r="G25" s="38">
        <v>3.9247999999999998</v>
      </c>
      <c r="H25" s="34">
        <v>24.68624853</v>
      </c>
      <c r="I25" s="34">
        <v>146.79694129999999</v>
      </c>
      <c r="J25" s="38">
        <v>3.9517000000000002</v>
      </c>
      <c r="K25" s="34">
        <v>24.855444429999999</v>
      </c>
      <c r="L25" s="34">
        <v>147.80306580000001</v>
      </c>
      <c r="M25" s="38">
        <v>8.3400000000000002E-2</v>
      </c>
      <c r="N25" s="34">
        <v>0.52457020200000004</v>
      </c>
      <c r="O25" s="34">
        <v>3.1193601969999998</v>
      </c>
      <c r="P25" s="38">
        <v>9.7299999999999998E-2</v>
      </c>
      <c r="Q25" s="34">
        <v>0.61199856900000005</v>
      </c>
      <c r="R25" s="34">
        <v>3.639253563</v>
      </c>
      <c r="S25" s="38">
        <v>0.1242</v>
      </c>
      <c r="T25" s="34">
        <v>0.781194473</v>
      </c>
      <c r="U25" s="33">
        <v>4.6453781349999996</v>
      </c>
    </row>
    <row r="26" spans="2:21" x14ac:dyDescent="0.25">
      <c r="B26" s="44" t="s">
        <v>161</v>
      </c>
      <c r="C26" s="47" t="s">
        <v>162</v>
      </c>
      <c r="D26" s="46">
        <v>88.313500000000005</v>
      </c>
      <c r="E26" s="46">
        <v>555.47518573100001</v>
      </c>
      <c r="F26" s="46">
        <v>3178.4678717769998</v>
      </c>
      <c r="G26" s="48">
        <v>90.346400000000003</v>
      </c>
      <c r="H26" s="46">
        <v>568.26174172900005</v>
      </c>
      <c r="I26" s="46">
        <v>3248.988109117</v>
      </c>
      <c r="J26" s="48">
        <v>92.772199999999998</v>
      </c>
      <c r="K26" s="46">
        <v>583.51956418899999</v>
      </c>
      <c r="L26" s="46">
        <v>3334.7836189670002</v>
      </c>
      <c r="M26" s="48">
        <v>3.0886</v>
      </c>
      <c r="N26" s="46">
        <v>19.426708928</v>
      </c>
      <c r="O26" s="46">
        <v>104.360283295</v>
      </c>
      <c r="P26" s="48">
        <v>5.1215000000000002</v>
      </c>
      <c r="Q26" s="46">
        <v>32.213264840000001</v>
      </c>
      <c r="R26" s="46">
        <v>174.88003213499999</v>
      </c>
      <c r="S26" s="48">
        <v>7.5471000000000004</v>
      </c>
      <c r="T26" s="46">
        <v>47.469829353999998</v>
      </c>
      <c r="U26" s="45">
        <v>260.66874771900001</v>
      </c>
    </row>
    <row r="27" spans="2:21" x14ac:dyDescent="0.25">
      <c r="B27" s="40" t="s">
        <v>163</v>
      </c>
      <c r="C27" s="42" t="s">
        <v>162</v>
      </c>
      <c r="D27" s="39">
        <v>89.456465509227399</v>
      </c>
      <c r="E27" s="39">
        <v>562.65971684051794</v>
      </c>
      <c r="F27" s="39">
        <v>3218.8732915303199</v>
      </c>
      <c r="G27" s="43">
        <v>90.316473575004295</v>
      </c>
      <c r="H27" s="39">
        <v>568.09469327919703</v>
      </c>
      <c r="I27" s="39">
        <v>3248.17489632569</v>
      </c>
      <c r="J27" s="43">
        <v>91.261190414125295</v>
      </c>
      <c r="K27" s="39">
        <v>574.05361547711698</v>
      </c>
      <c r="L27" s="39">
        <v>3280.16917412563</v>
      </c>
      <c r="M27" s="43">
        <v>4.2659649917429299</v>
      </c>
      <c r="N27" s="39">
        <v>26.845258157026102</v>
      </c>
      <c r="O27" s="39">
        <v>145.95634480800399</v>
      </c>
      <c r="P27" s="43">
        <v>5.0575449937252301</v>
      </c>
      <c r="Q27" s="39">
        <v>31.809521439046001</v>
      </c>
      <c r="R27" s="39">
        <v>172.830054252303</v>
      </c>
      <c r="S27" s="43">
        <v>6.0573831396876798</v>
      </c>
      <c r="T27" s="39">
        <v>38.108820915034698</v>
      </c>
      <c r="U27" s="41">
        <v>206.41516370341</v>
      </c>
    </row>
  </sheetData>
  <mergeCells count="9">
    <mergeCell ref="B2:U2"/>
    <mergeCell ref="B4:B5"/>
    <mergeCell ref="C4:C5"/>
    <mergeCell ref="D4:F4"/>
    <mergeCell ref="G4:I4"/>
    <mergeCell ref="J4:L4"/>
    <mergeCell ref="M4:O4"/>
    <mergeCell ref="P4:R4"/>
    <mergeCell ref="S4:U4"/>
  </mergeCells>
  <pageMargins left="0.05" right="0.05" top="0.5" bottom="0.5" header="0" footer="0"/>
  <pageSetup paperSize="8"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6072"/>
    <pageSetUpPr fitToPage="1"/>
  </sheetPr>
  <dimension ref="B2:T28"/>
  <sheetViews>
    <sheetView showGridLines="0" zoomScale="85" zoomScaleNormal="85" zoomScalePageLayoutView="85" workbookViewId="0"/>
  </sheetViews>
  <sheetFormatPr defaultColWidth="11.42578125" defaultRowHeight="15" x14ac:dyDescent="0.25"/>
  <cols>
    <col min="2" max="2" width="35.140625" customWidth="1"/>
    <col min="3" max="4" width="11.42578125" customWidth="1"/>
    <col min="5" max="5" width="8.85546875" customWidth="1"/>
    <col min="6" max="7" width="11.42578125" customWidth="1"/>
    <col min="8" max="8" width="8.85546875" customWidth="1"/>
    <col min="9" max="10" width="11.42578125" customWidth="1"/>
    <col min="11" max="11" width="8.85546875" customWidth="1"/>
    <col min="12" max="13" width="11.42578125" customWidth="1"/>
    <col min="14" max="14" width="8.85546875" customWidth="1"/>
    <col min="15" max="16" width="11.42578125" customWidth="1"/>
    <col min="17" max="17" width="8.85546875" customWidth="1"/>
    <col min="18" max="19" width="11.42578125" customWidth="1"/>
    <col min="20" max="20" width="8.85546875" customWidth="1"/>
  </cols>
  <sheetData>
    <row r="2" spans="2:20" ht="17.100000000000001" customHeight="1" x14ac:dyDescent="0.35">
      <c r="B2" s="242" t="s">
        <v>164</v>
      </c>
      <c r="C2" s="243"/>
      <c r="D2" s="243"/>
      <c r="E2" s="243"/>
      <c r="F2" s="243"/>
      <c r="G2" s="243"/>
      <c r="H2" s="243"/>
      <c r="I2" s="243"/>
      <c r="J2" s="243"/>
      <c r="K2" s="243"/>
      <c r="L2" s="243"/>
      <c r="M2" s="243"/>
      <c r="N2" s="243"/>
      <c r="O2" s="243"/>
      <c r="P2" s="243"/>
      <c r="Q2" s="243"/>
      <c r="R2" s="243"/>
      <c r="S2" s="243"/>
      <c r="T2" s="243"/>
    </row>
    <row r="3" spans="2:20" ht="12" customHeight="1" x14ac:dyDescent="0.25"/>
    <row r="4" spans="2:20" ht="32.25" customHeight="1" x14ac:dyDescent="0.25">
      <c r="B4" s="250" t="s">
        <v>0</v>
      </c>
      <c r="C4" s="252" t="s">
        <v>2</v>
      </c>
      <c r="D4" s="252"/>
      <c r="E4" s="252"/>
      <c r="F4" s="253" t="s">
        <v>3</v>
      </c>
      <c r="G4" s="252"/>
      <c r="H4" s="254"/>
      <c r="I4" s="253" t="s">
        <v>4</v>
      </c>
      <c r="J4" s="252"/>
      <c r="K4" s="254"/>
      <c r="L4" s="253" t="s">
        <v>5</v>
      </c>
      <c r="M4" s="252"/>
      <c r="N4" s="254"/>
      <c r="O4" s="253" t="s">
        <v>6</v>
      </c>
      <c r="P4" s="252"/>
      <c r="Q4" s="254"/>
      <c r="R4" s="253" t="s">
        <v>7</v>
      </c>
      <c r="S4" s="252"/>
      <c r="T4" s="254"/>
    </row>
    <row r="5" spans="2:20" ht="15" customHeight="1" x14ac:dyDescent="0.25">
      <c r="B5" s="251"/>
      <c r="C5" s="23" t="s">
        <v>114</v>
      </c>
      <c r="D5" s="24" t="s">
        <v>22</v>
      </c>
      <c r="E5" s="24" t="s">
        <v>8</v>
      </c>
      <c r="F5" s="23" t="s">
        <v>114</v>
      </c>
      <c r="G5" s="24" t="s">
        <v>22</v>
      </c>
      <c r="H5" s="26" t="s">
        <v>8</v>
      </c>
      <c r="I5" s="23" t="s">
        <v>114</v>
      </c>
      <c r="J5" s="24" t="s">
        <v>22</v>
      </c>
      <c r="K5" s="26" t="s">
        <v>8</v>
      </c>
      <c r="L5" s="23" t="s">
        <v>114</v>
      </c>
      <c r="M5" s="24" t="s">
        <v>22</v>
      </c>
      <c r="N5" s="26" t="s">
        <v>8</v>
      </c>
      <c r="O5" s="23" t="s">
        <v>114</v>
      </c>
      <c r="P5" s="24" t="s">
        <v>22</v>
      </c>
      <c r="Q5" s="26" t="s">
        <v>8</v>
      </c>
      <c r="R5" s="23" t="s">
        <v>114</v>
      </c>
      <c r="S5" s="24" t="s">
        <v>22</v>
      </c>
      <c r="T5" s="26" t="s">
        <v>8</v>
      </c>
    </row>
    <row r="6" spans="2:20" x14ac:dyDescent="0.25">
      <c r="B6" s="60" t="s">
        <v>138</v>
      </c>
      <c r="C6" s="56">
        <v>167.71379999999999</v>
      </c>
      <c r="D6" s="56">
        <v>5.9227569979999997</v>
      </c>
      <c r="E6" s="56">
        <v>6.9601227000000003</v>
      </c>
      <c r="F6" s="62">
        <v>208.16480000000001</v>
      </c>
      <c r="G6" s="56">
        <v>7.3512705929999997</v>
      </c>
      <c r="H6" s="56">
        <v>8.6388391999999996</v>
      </c>
      <c r="I6" s="62">
        <v>245.2406</v>
      </c>
      <c r="J6" s="56">
        <v>8.6605901240000005</v>
      </c>
      <c r="K6" s="56">
        <v>10.1774849</v>
      </c>
      <c r="L6" s="62">
        <v>18.752800000000001</v>
      </c>
      <c r="M6" s="56">
        <v>0.66224888699999995</v>
      </c>
      <c r="N6" s="56">
        <v>0.77824119999999997</v>
      </c>
      <c r="O6" s="62">
        <v>59.203800000000001</v>
      </c>
      <c r="P6" s="56">
        <v>2.0907624820000001</v>
      </c>
      <c r="Q6" s="56">
        <v>2.4569576999999998</v>
      </c>
      <c r="R6" s="62">
        <v>96.279600000000002</v>
      </c>
      <c r="S6" s="56">
        <v>3.400082013</v>
      </c>
      <c r="T6" s="57">
        <v>3.9956033999999998</v>
      </c>
    </row>
    <row r="7" spans="2:20" x14ac:dyDescent="0.25">
      <c r="B7" s="61" t="s">
        <v>140</v>
      </c>
      <c r="C7" s="59">
        <v>77.605000000000004</v>
      </c>
      <c r="D7" s="59">
        <v>2.740594733</v>
      </c>
      <c r="E7" s="59">
        <v>4.6873420000000001</v>
      </c>
      <c r="F7" s="63">
        <v>84.29</v>
      </c>
      <c r="G7" s="59">
        <v>2.9766732810000001</v>
      </c>
      <c r="H7" s="59">
        <v>5.0911160000000004</v>
      </c>
      <c r="I7" s="63">
        <v>88.501000000000005</v>
      </c>
      <c r="J7" s="59">
        <v>3.1253833439999998</v>
      </c>
      <c r="K7" s="59">
        <v>5.3454604000000003</v>
      </c>
      <c r="L7" s="63">
        <v>4.1509999999999998</v>
      </c>
      <c r="M7" s="59">
        <v>0.14659118300000001</v>
      </c>
      <c r="N7" s="59">
        <v>0.25072040000000001</v>
      </c>
      <c r="O7" s="63">
        <v>10.836</v>
      </c>
      <c r="P7" s="59">
        <v>0.38266973199999998</v>
      </c>
      <c r="Q7" s="59">
        <v>0.65449440000000003</v>
      </c>
      <c r="R7" s="63">
        <v>15.047000000000001</v>
      </c>
      <c r="S7" s="59">
        <v>0.53137979400000002</v>
      </c>
      <c r="T7" s="58">
        <v>0.90883879999999995</v>
      </c>
    </row>
    <row r="8" spans="2:20" x14ac:dyDescent="0.25">
      <c r="B8" s="61" t="s">
        <v>141</v>
      </c>
      <c r="C8" s="59">
        <v>35.251199999999997</v>
      </c>
      <c r="D8" s="59">
        <v>1.2448843890000001</v>
      </c>
      <c r="E8" s="59">
        <v>2.4464332799999999</v>
      </c>
      <c r="F8" s="63">
        <v>35.276299999999999</v>
      </c>
      <c r="G8" s="59">
        <v>1.2457707870000001</v>
      </c>
      <c r="H8" s="59">
        <v>2.44817522</v>
      </c>
      <c r="I8" s="63">
        <v>35.293900000000001</v>
      </c>
      <c r="J8" s="59">
        <v>1.2463923260000001</v>
      </c>
      <c r="K8" s="59">
        <v>2.4493966600000001</v>
      </c>
      <c r="L8" s="63">
        <v>3.6299999999999999E-2</v>
      </c>
      <c r="M8" s="59">
        <v>1.281922E-3</v>
      </c>
      <c r="N8" s="59">
        <v>2.51922E-3</v>
      </c>
      <c r="O8" s="63">
        <v>6.1400000000000003E-2</v>
      </c>
      <c r="P8" s="59">
        <v>2.168321E-3</v>
      </c>
      <c r="Q8" s="59">
        <v>4.2611599999999999E-3</v>
      </c>
      <c r="R8" s="63">
        <v>7.9000000000000001E-2</v>
      </c>
      <c r="S8" s="59">
        <v>2.789859E-3</v>
      </c>
      <c r="T8" s="58">
        <v>5.4825999999999998E-3</v>
      </c>
    </row>
    <row r="9" spans="2:20" x14ac:dyDescent="0.25">
      <c r="B9" s="61" t="s">
        <v>142</v>
      </c>
      <c r="C9" s="59">
        <v>2393.7161999999998</v>
      </c>
      <c r="D9" s="59">
        <v>84.533290488999995</v>
      </c>
      <c r="E9" s="59">
        <v>94.733925139999997</v>
      </c>
      <c r="F9" s="63">
        <v>2635.5662000000002</v>
      </c>
      <c r="G9" s="59">
        <v>93.074142709</v>
      </c>
      <c r="H9" s="59">
        <v>104.33537013999999</v>
      </c>
      <c r="I9" s="63">
        <v>2872.9162000000001</v>
      </c>
      <c r="J9" s="59">
        <v>101.45607891900001</v>
      </c>
      <c r="K9" s="59">
        <v>113.75816514</v>
      </c>
      <c r="L9" s="63">
        <v>717.05</v>
      </c>
      <c r="M9" s="59">
        <v>25.322381970999999</v>
      </c>
      <c r="N9" s="59">
        <v>28.466885000000001</v>
      </c>
      <c r="O9" s="63">
        <v>958.9</v>
      </c>
      <c r="P9" s="59">
        <v>33.863234188</v>
      </c>
      <c r="Q9" s="59">
        <v>38.068330000000003</v>
      </c>
      <c r="R9" s="63">
        <v>1196.25</v>
      </c>
      <c r="S9" s="59">
        <v>42.245170401999999</v>
      </c>
      <c r="T9" s="58">
        <v>47.491124999999997</v>
      </c>
    </row>
    <row r="10" spans="2:20" x14ac:dyDescent="0.25">
      <c r="B10" s="61" t="s">
        <v>165</v>
      </c>
      <c r="C10" s="59">
        <v>2.88</v>
      </c>
      <c r="D10" s="59">
        <v>0.101706241</v>
      </c>
      <c r="E10" s="59">
        <v>0.101088</v>
      </c>
      <c r="F10" s="63">
        <v>5.08</v>
      </c>
      <c r="G10" s="59">
        <v>0.17939850800000001</v>
      </c>
      <c r="H10" s="59">
        <v>0.17830799999999999</v>
      </c>
      <c r="I10" s="63">
        <v>8.7799999999999994</v>
      </c>
      <c r="J10" s="59">
        <v>0.31006277599999998</v>
      </c>
      <c r="K10" s="59">
        <v>0.30817800000000001</v>
      </c>
      <c r="L10" s="63">
        <v>1.82</v>
      </c>
      <c r="M10" s="59">
        <v>6.4272694000000005E-2</v>
      </c>
      <c r="N10" s="59">
        <v>6.3881999999999994E-2</v>
      </c>
      <c r="O10" s="63">
        <v>4.0199999999999996</v>
      </c>
      <c r="P10" s="59">
        <v>0.141964961</v>
      </c>
      <c r="Q10" s="59">
        <v>0.14110200000000001</v>
      </c>
      <c r="R10" s="63">
        <v>7.72</v>
      </c>
      <c r="S10" s="59">
        <v>0.27262922899999997</v>
      </c>
      <c r="T10" s="58">
        <v>0.27097199999999999</v>
      </c>
    </row>
    <row r="11" spans="2:20" x14ac:dyDescent="0.25">
      <c r="B11" s="61" t="s">
        <v>144</v>
      </c>
      <c r="C11" s="59">
        <v>43091.7382</v>
      </c>
      <c r="D11" s="59">
        <v>1521.770385</v>
      </c>
      <c r="E11" s="59">
        <v>1129.003541</v>
      </c>
      <c r="F11" s="63">
        <v>44241.5484</v>
      </c>
      <c r="G11" s="59">
        <v>1562.3755490000001</v>
      </c>
      <c r="H11" s="59">
        <v>1159.1285680000001</v>
      </c>
      <c r="I11" s="63">
        <v>45163.4539</v>
      </c>
      <c r="J11" s="59">
        <v>1594.932335</v>
      </c>
      <c r="K11" s="59">
        <v>1183.282492</v>
      </c>
      <c r="L11" s="63">
        <v>1484.9123</v>
      </c>
      <c r="M11" s="59">
        <v>52.439183399999997</v>
      </c>
      <c r="N11" s="59">
        <v>38.904702260000001</v>
      </c>
      <c r="O11" s="63">
        <v>2634.7224999999999</v>
      </c>
      <c r="P11" s="59">
        <v>93.044347729999998</v>
      </c>
      <c r="Q11" s="59">
        <v>69.029729500000002</v>
      </c>
      <c r="R11" s="63">
        <v>3556.6280000000002</v>
      </c>
      <c r="S11" s="59">
        <v>125.6011335</v>
      </c>
      <c r="T11" s="58">
        <v>93.1836536</v>
      </c>
    </row>
    <row r="12" spans="2:20" x14ac:dyDescent="0.25">
      <c r="B12" s="61" t="s">
        <v>146</v>
      </c>
      <c r="C12" s="59">
        <v>695.16690000000006</v>
      </c>
      <c r="D12" s="59">
        <v>24.549587585000001</v>
      </c>
      <c r="E12" s="59">
        <v>28.640876280000001</v>
      </c>
      <c r="F12" s="63">
        <v>695.16690000000006</v>
      </c>
      <c r="G12" s="59">
        <v>24.549587585000001</v>
      </c>
      <c r="H12" s="59">
        <v>28.640876280000001</v>
      </c>
      <c r="I12" s="63">
        <v>695.16690000000006</v>
      </c>
      <c r="J12" s="59">
        <v>24.549587585000001</v>
      </c>
      <c r="K12" s="59">
        <v>28.640876280000001</v>
      </c>
      <c r="L12" s="63">
        <v>0</v>
      </c>
      <c r="M12" s="59">
        <v>0</v>
      </c>
      <c r="N12" s="59">
        <v>0</v>
      </c>
      <c r="O12" s="63">
        <v>0</v>
      </c>
      <c r="P12" s="59">
        <v>0</v>
      </c>
      <c r="Q12" s="59">
        <v>0</v>
      </c>
      <c r="R12" s="63">
        <v>0</v>
      </c>
      <c r="S12" s="59">
        <v>0</v>
      </c>
      <c r="T12" s="58">
        <v>0</v>
      </c>
    </row>
    <row r="13" spans="2:20" x14ac:dyDescent="0.25">
      <c r="B13" s="61" t="s">
        <v>147</v>
      </c>
      <c r="C13" s="59">
        <v>1519.8670999999999</v>
      </c>
      <c r="D13" s="59">
        <v>53.673600520000001</v>
      </c>
      <c r="E13" s="59">
        <v>59.42680361</v>
      </c>
      <c r="F13" s="63">
        <v>1670.8770999999999</v>
      </c>
      <c r="G13" s="59">
        <v>59.006468380000001</v>
      </c>
      <c r="H13" s="59">
        <v>65.33129461</v>
      </c>
      <c r="I13" s="63">
        <v>1782.8770999999999</v>
      </c>
      <c r="J13" s="59">
        <v>62.961711090000001</v>
      </c>
      <c r="K13" s="59">
        <v>69.710494609999998</v>
      </c>
      <c r="L13" s="63">
        <v>124.6</v>
      </c>
      <c r="M13" s="59">
        <v>4.4002075080000003</v>
      </c>
      <c r="N13" s="59">
        <v>4.8718599999999999</v>
      </c>
      <c r="O13" s="63">
        <v>275.61</v>
      </c>
      <c r="P13" s="59">
        <v>9.7330753720000001</v>
      </c>
      <c r="Q13" s="59">
        <v>10.776351</v>
      </c>
      <c r="R13" s="63">
        <v>387.61</v>
      </c>
      <c r="S13" s="59">
        <v>13.68831808</v>
      </c>
      <c r="T13" s="58">
        <v>15.155551000000001</v>
      </c>
    </row>
    <row r="14" spans="2:20" x14ac:dyDescent="0.25">
      <c r="B14" s="61" t="s">
        <v>148</v>
      </c>
      <c r="C14" s="59">
        <v>9363.2958999999992</v>
      </c>
      <c r="D14" s="59">
        <v>330.66167669999999</v>
      </c>
      <c r="E14" s="59">
        <v>375.46816560000002</v>
      </c>
      <c r="F14" s="63">
        <v>9987.5156000000006</v>
      </c>
      <c r="G14" s="59">
        <v>352.70578760000001</v>
      </c>
      <c r="H14" s="59">
        <v>400.49937560000001</v>
      </c>
      <c r="I14" s="63">
        <v>10611.7353</v>
      </c>
      <c r="J14" s="59">
        <v>374.74989840000001</v>
      </c>
      <c r="K14" s="59">
        <v>425.53058549999997</v>
      </c>
      <c r="L14" s="63">
        <v>989.17049999999995</v>
      </c>
      <c r="M14" s="59">
        <v>34.932226810000003</v>
      </c>
      <c r="N14" s="59">
        <v>39.665737049999997</v>
      </c>
      <c r="O14" s="63">
        <v>1613.3902</v>
      </c>
      <c r="P14" s="59">
        <v>56.976337649999998</v>
      </c>
      <c r="Q14" s="59">
        <v>64.696947019999996</v>
      </c>
      <c r="R14" s="63">
        <v>2237.6098999999999</v>
      </c>
      <c r="S14" s="59">
        <v>79.020448490000007</v>
      </c>
      <c r="T14" s="58">
        <v>89.728156990000002</v>
      </c>
    </row>
    <row r="15" spans="2:20" x14ac:dyDescent="0.25">
      <c r="B15" s="61" t="s">
        <v>149</v>
      </c>
      <c r="C15" s="59">
        <v>1469.9102</v>
      </c>
      <c r="D15" s="59">
        <v>51.909389230000002</v>
      </c>
      <c r="E15" s="59">
        <v>61.001273300000001</v>
      </c>
      <c r="F15" s="63">
        <v>1515.9102</v>
      </c>
      <c r="G15" s="59">
        <v>53.533863920000002</v>
      </c>
      <c r="H15" s="59">
        <v>62.9102733</v>
      </c>
      <c r="I15" s="63">
        <v>1575.9102</v>
      </c>
      <c r="J15" s="59">
        <v>55.652743940000001</v>
      </c>
      <c r="K15" s="59">
        <v>65.400273299999995</v>
      </c>
      <c r="L15" s="63">
        <v>53</v>
      </c>
      <c r="M15" s="59">
        <v>1.871677351</v>
      </c>
      <c r="N15" s="59">
        <v>2.1995</v>
      </c>
      <c r="O15" s="63">
        <v>99</v>
      </c>
      <c r="P15" s="59">
        <v>3.496152033</v>
      </c>
      <c r="Q15" s="59">
        <v>4.1085000000000003</v>
      </c>
      <c r="R15" s="63">
        <v>159</v>
      </c>
      <c r="S15" s="59">
        <v>5.6150320530000002</v>
      </c>
      <c r="T15" s="58">
        <v>6.5984999999999996</v>
      </c>
    </row>
    <row r="16" spans="2:20" x14ac:dyDescent="0.25">
      <c r="B16" s="61" t="s">
        <v>150</v>
      </c>
      <c r="C16" s="59">
        <v>12784.8063</v>
      </c>
      <c r="D16" s="59">
        <v>451.49117711500003</v>
      </c>
      <c r="E16" s="59">
        <v>497.32896504000001</v>
      </c>
      <c r="F16" s="63">
        <v>14040.082399999999</v>
      </c>
      <c r="G16" s="59">
        <v>495.82083461100001</v>
      </c>
      <c r="H16" s="59">
        <v>546.15920531999996</v>
      </c>
      <c r="I16" s="63">
        <v>15498.8716</v>
      </c>
      <c r="J16" s="59">
        <v>547.33748945699995</v>
      </c>
      <c r="K16" s="59">
        <v>602.90610526</v>
      </c>
      <c r="L16" s="63">
        <v>1178.3648000000001</v>
      </c>
      <c r="M16" s="59">
        <v>41.613560513000003</v>
      </c>
      <c r="N16" s="59">
        <v>45.83839072</v>
      </c>
      <c r="O16" s="63">
        <v>2433.6410000000001</v>
      </c>
      <c r="P16" s="59">
        <v>85.943221508999997</v>
      </c>
      <c r="Q16" s="59">
        <v>94.668634900000001</v>
      </c>
      <c r="R16" s="63">
        <v>3892.4301</v>
      </c>
      <c r="S16" s="59">
        <v>137.459872846</v>
      </c>
      <c r="T16" s="58">
        <v>151.41553092000001</v>
      </c>
    </row>
    <row r="17" spans="2:20" x14ac:dyDescent="0.25">
      <c r="B17" s="61" t="s">
        <v>151</v>
      </c>
      <c r="C17" s="59">
        <v>107995.75</v>
      </c>
      <c r="D17" s="59">
        <v>3813.833948723</v>
      </c>
      <c r="E17" s="59">
        <v>4264.1414119999999</v>
      </c>
      <c r="F17" s="63">
        <v>108206.75</v>
      </c>
      <c r="G17" s="59">
        <v>3821.285343392</v>
      </c>
      <c r="H17" s="59">
        <v>4272.4192119999998</v>
      </c>
      <c r="I17" s="63">
        <v>108306.75</v>
      </c>
      <c r="J17" s="59">
        <v>3824.8168097329999</v>
      </c>
      <c r="K17" s="59">
        <v>4276.1829120000002</v>
      </c>
      <c r="L17" s="63">
        <v>0</v>
      </c>
      <c r="M17" s="59">
        <v>0</v>
      </c>
      <c r="N17" s="59">
        <v>0</v>
      </c>
      <c r="O17" s="63">
        <v>211</v>
      </c>
      <c r="P17" s="59">
        <v>7.4513947370000002</v>
      </c>
      <c r="Q17" s="59">
        <v>8.2777999999999992</v>
      </c>
      <c r="R17" s="63">
        <v>311</v>
      </c>
      <c r="S17" s="59">
        <v>10.982861437</v>
      </c>
      <c r="T17" s="58">
        <v>12.041499999999999</v>
      </c>
    </row>
    <row r="18" spans="2:20" x14ac:dyDescent="0.25">
      <c r="B18" s="61" t="s">
        <v>152</v>
      </c>
      <c r="C18" s="59">
        <v>5485.6274000000003</v>
      </c>
      <c r="D18" s="59">
        <v>193.72310490000001</v>
      </c>
      <c r="E18" s="59">
        <v>232.04203899999999</v>
      </c>
      <c r="F18" s="63">
        <v>5533.4845999999998</v>
      </c>
      <c r="G18" s="59">
        <v>195.41316599999999</v>
      </c>
      <c r="H18" s="59">
        <v>234.06639860000001</v>
      </c>
      <c r="I18" s="63">
        <v>5558.4737999999998</v>
      </c>
      <c r="J18" s="59">
        <v>196.2956513</v>
      </c>
      <c r="K18" s="59">
        <v>235.1234417</v>
      </c>
      <c r="L18" s="63">
        <v>29.285599999999999</v>
      </c>
      <c r="M18" s="59">
        <v>1.034211212</v>
      </c>
      <c r="N18" s="59">
        <v>1.23878088</v>
      </c>
      <c r="O18" s="63">
        <v>77.142700000000005</v>
      </c>
      <c r="P18" s="59">
        <v>2.7242687619999999</v>
      </c>
      <c r="Q18" s="59">
        <v>3.2631362099999999</v>
      </c>
      <c r="R18" s="63">
        <v>102.1319</v>
      </c>
      <c r="S18" s="59">
        <v>3.6067540390000001</v>
      </c>
      <c r="T18" s="58">
        <v>4.32017937</v>
      </c>
    </row>
    <row r="19" spans="2:20" x14ac:dyDescent="0.25">
      <c r="B19" s="61" t="s">
        <v>153</v>
      </c>
      <c r="C19" s="59">
        <v>27455.279999999999</v>
      </c>
      <c r="D19" s="59">
        <v>969.57407060000003</v>
      </c>
      <c r="E19" s="59">
        <v>1136.648592</v>
      </c>
      <c r="F19" s="63">
        <v>27959.279999999999</v>
      </c>
      <c r="G19" s="59">
        <v>987.37266279999994</v>
      </c>
      <c r="H19" s="59">
        <v>1157.5141920000001</v>
      </c>
      <c r="I19" s="63">
        <v>28692.28</v>
      </c>
      <c r="J19" s="59">
        <v>1013.258314</v>
      </c>
      <c r="K19" s="59">
        <v>1187.860392</v>
      </c>
      <c r="L19" s="63">
        <v>739</v>
      </c>
      <c r="M19" s="59">
        <v>26.097538910000001</v>
      </c>
      <c r="N19" s="59">
        <v>30.5946</v>
      </c>
      <c r="O19" s="63">
        <v>1243</v>
      </c>
      <c r="P19" s="59">
        <v>43.896131080000004</v>
      </c>
      <c r="Q19" s="59">
        <v>51.4602</v>
      </c>
      <c r="R19" s="63">
        <v>1976</v>
      </c>
      <c r="S19" s="59">
        <v>69.781781989999999</v>
      </c>
      <c r="T19" s="58">
        <v>81.806399999999996</v>
      </c>
    </row>
    <row r="20" spans="2:20" x14ac:dyDescent="0.25">
      <c r="B20" s="61" t="s">
        <v>154</v>
      </c>
      <c r="C20" s="59">
        <v>162.47989999999999</v>
      </c>
      <c r="D20" s="59">
        <v>5.7379235629999998</v>
      </c>
      <c r="E20" s="59">
        <v>5.8492763999999999</v>
      </c>
      <c r="F20" s="63">
        <v>238.15989999999999</v>
      </c>
      <c r="G20" s="59">
        <v>8.4105375609999999</v>
      </c>
      <c r="H20" s="59">
        <v>8.5737564000000006</v>
      </c>
      <c r="I20" s="63">
        <v>338.05990000000003</v>
      </c>
      <c r="J20" s="59">
        <v>11.9384728</v>
      </c>
      <c r="K20" s="59">
        <v>12.1701564</v>
      </c>
      <c r="L20" s="63">
        <v>102.84</v>
      </c>
      <c r="M20" s="59">
        <v>3.6317603539999999</v>
      </c>
      <c r="N20" s="59">
        <v>3.7022400000000002</v>
      </c>
      <c r="O20" s="63">
        <v>178.52</v>
      </c>
      <c r="P20" s="59">
        <v>6.304374353</v>
      </c>
      <c r="Q20" s="59">
        <v>6.4267200000000004</v>
      </c>
      <c r="R20" s="63">
        <v>278.42</v>
      </c>
      <c r="S20" s="59">
        <v>9.8323095859999992</v>
      </c>
      <c r="T20" s="58">
        <v>10.02312</v>
      </c>
    </row>
    <row r="21" spans="2:20" x14ac:dyDescent="0.25">
      <c r="B21" s="61" t="s">
        <v>155</v>
      </c>
      <c r="C21" s="59">
        <v>82.448700000000002</v>
      </c>
      <c r="D21" s="59">
        <v>2.9116483849999999</v>
      </c>
      <c r="E21" s="59">
        <v>3.3968864399999998</v>
      </c>
      <c r="F21" s="63">
        <v>82.448700000000002</v>
      </c>
      <c r="G21" s="59">
        <v>2.9116483849999999</v>
      </c>
      <c r="H21" s="59">
        <v>3.3968864399999998</v>
      </c>
      <c r="I21" s="63">
        <v>82.448700000000002</v>
      </c>
      <c r="J21" s="59">
        <v>2.9116483849999999</v>
      </c>
      <c r="K21" s="59">
        <v>3.3968864399999998</v>
      </c>
      <c r="L21" s="63">
        <v>0</v>
      </c>
      <c r="M21" s="59">
        <v>0</v>
      </c>
      <c r="N21" s="59">
        <v>0</v>
      </c>
      <c r="O21" s="63">
        <v>0</v>
      </c>
      <c r="P21" s="59">
        <v>0</v>
      </c>
      <c r="Q21" s="59">
        <v>0</v>
      </c>
      <c r="R21" s="63">
        <v>0</v>
      </c>
      <c r="S21" s="59">
        <v>0</v>
      </c>
      <c r="T21" s="58">
        <v>0</v>
      </c>
    </row>
    <row r="22" spans="2:20" x14ac:dyDescent="0.25">
      <c r="B22" s="61" t="s">
        <v>156</v>
      </c>
      <c r="C22" s="59">
        <v>147.8185</v>
      </c>
      <c r="D22" s="59">
        <v>5.2201611039999998</v>
      </c>
      <c r="E22" s="59">
        <v>5.69101225</v>
      </c>
      <c r="F22" s="63">
        <v>154.18450000000001</v>
      </c>
      <c r="G22" s="59">
        <v>5.4449742739999998</v>
      </c>
      <c r="H22" s="59">
        <v>5.9361032500000004</v>
      </c>
      <c r="I22" s="63">
        <v>156.97450000000001</v>
      </c>
      <c r="J22" s="59">
        <v>5.5435021950000003</v>
      </c>
      <c r="K22" s="59">
        <v>6.04351825</v>
      </c>
      <c r="L22" s="63">
        <v>10.025</v>
      </c>
      <c r="M22" s="59">
        <v>0.35402953700000001</v>
      </c>
      <c r="N22" s="59">
        <v>0.38596249999999999</v>
      </c>
      <c r="O22" s="63">
        <v>16.390999999999998</v>
      </c>
      <c r="P22" s="59">
        <v>0.57884270699999996</v>
      </c>
      <c r="Q22" s="59">
        <v>0.63105350000000004</v>
      </c>
      <c r="R22" s="63">
        <v>19.181000000000001</v>
      </c>
      <c r="S22" s="59">
        <v>0.67737062800000003</v>
      </c>
      <c r="T22" s="58">
        <v>0.73846849999999997</v>
      </c>
    </row>
    <row r="23" spans="2:20" x14ac:dyDescent="0.25">
      <c r="B23" s="61" t="s">
        <v>157</v>
      </c>
      <c r="C23" s="59">
        <v>8.6704000000000008</v>
      </c>
      <c r="D23" s="59">
        <v>0.30619228900000001</v>
      </c>
      <c r="E23" s="59">
        <v>0.33467743999999999</v>
      </c>
      <c r="F23" s="63">
        <v>8.8404000000000007</v>
      </c>
      <c r="G23" s="59">
        <v>0.31219578199999998</v>
      </c>
      <c r="H23" s="59">
        <v>0.34123944</v>
      </c>
      <c r="I23" s="63">
        <v>9.0104000000000006</v>
      </c>
      <c r="J23" s="59">
        <v>0.31819927599999998</v>
      </c>
      <c r="K23" s="59">
        <v>0.34780144000000002</v>
      </c>
      <c r="L23" s="63">
        <v>0.15</v>
      </c>
      <c r="M23" s="59">
        <v>5.2972000000000002E-3</v>
      </c>
      <c r="N23" s="59">
        <v>5.79E-3</v>
      </c>
      <c r="O23" s="63">
        <v>0.32</v>
      </c>
      <c r="P23" s="59">
        <v>1.1300693000000001E-2</v>
      </c>
      <c r="Q23" s="59">
        <v>1.2352E-2</v>
      </c>
      <c r="R23" s="63">
        <v>0.49</v>
      </c>
      <c r="S23" s="59">
        <v>1.7304186999999999E-2</v>
      </c>
      <c r="T23" s="58">
        <v>1.8914E-2</v>
      </c>
    </row>
    <row r="24" spans="2:20" x14ac:dyDescent="0.25">
      <c r="B24" s="61" t="s">
        <v>158</v>
      </c>
      <c r="C24" s="59">
        <v>1546.6351999999999</v>
      </c>
      <c r="D24" s="59">
        <v>54.618907059999998</v>
      </c>
      <c r="E24" s="59">
        <v>68.515939360000004</v>
      </c>
      <c r="F24" s="63">
        <v>1567.0252</v>
      </c>
      <c r="G24" s="59">
        <v>55.338973119999999</v>
      </c>
      <c r="H24" s="59">
        <v>69.419216359999993</v>
      </c>
      <c r="I24" s="63">
        <v>1587.4051999999999</v>
      </c>
      <c r="J24" s="59">
        <v>56.058686029999997</v>
      </c>
      <c r="K24" s="59">
        <v>70.322050360000006</v>
      </c>
      <c r="L24" s="63">
        <v>122.33</v>
      </c>
      <c r="M24" s="59">
        <v>4.320043214</v>
      </c>
      <c r="N24" s="59">
        <v>5.419219</v>
      </c>
      <c r="O24" s="63">
        <v>142.72</v>
      </c>
      <c r="P24" s="59">
        <v>5.0401092739999998</v>
      </c>
      <c r="Q24" s="59">
        <v>6.3224960000000001</v>
      </c>
      <c r="R24" s="63">
        <v>163.1</v>
      </c>
      <c r="S24" s="59">
        <v>5.7598221880000002</v>
      </c>
      <c r="T24" s="58">
        <v>7.2253299999999996</v>
      </c>
    </row>
    <row r="25" spans="2:20" x14ac:dyDescent="0.25">
      <c r="B25" s="61" t="s">
        <v>159</v>
      </c>
      <c r="C25" s="59">
        <v>11561.823200000001</v>
      </c>
      <c r="D25" s="59">
        <v>408.30193627</v>
      </c>
      <c r="E25" s="59">
        <v>467.09765729999998</v>
      </c>
      <c r="F25" s="63">
        <v>14830.093199999999</v>
      </c>
      <c r="G25" s="59">
        <v>523.71980299999996</v>
      </c>
      <c r="H25" s="59">
        <v>599.1357653</v>
      </c>
      <c r="I25" s="63">
        <v>18484.903200000001</v>
      </c>
      <c r="J25" s="59">
        <v>652.78820110000004</v>
      </c>
      <c r="K25" s="59">
        <v>746.79008929999998</v>
      </c>
      <c r="L25" s="63">
        <v>6126.6</v>
      </c>
      <c r="M25" s="59">
        <v>216.35883888999999</v>
      </c>
      <c r="N25" s="59">
        <v>247.51464000000001</v>
      </c>
      <c r="O25" s="63">
        <v>9394.8700000000008</v>
      </c>
      <c r="P25" s="59">
        <v>331.77670551</v>
      </c>
      <c r="Q25" s="59">
        <v>379.55274800000001</v>
      </c>
      <c r="R25" s="63">
        <v>13049.68</v>
      </c>
      <c r="S25" s="59">
        <v>460.84510368000002</v>
      </c>
      <c r="T25" s="58">
        <v>527.20707200000004</v>
      </c>
    </row>
    <row r="26" spans="2:20" x14ac:dyDescent="0.25">
      <c r="B26" s="61" t="s">
        <v>160</v>
      </c>
      <c r="C26" s="59">
        <v>887.4932</v>
      </c>
      <c r="D26" s="59">
        <v>31.341526819999999</v>
      </c>
      <c r="E26" s="59">
        <v>32.659749759999997</v>
      </c>
      <c r="F26" s="63">
        <v>893.6549</v>
      </c>
      <c r="G26" s="59">
        <v>31.559125210000001</v>
      </c>
      <c r="H26" s="59">
        <v>32.886500320000003</v>
      </c>
      <c r="I26" s="63">
        <v>909.8691</v>
      </c>
      <c r="J26" s="59">
        <v>32.13172428</v>
      </c>
      <c r="K26" s="59">
        <v>33.483182880000001</v>
      </c>
      <c r="L26" s="63">
        <v>48.552</v>
      </c>
      <c r="M26" s="59">
        <v>1.714597712</v>
      </c>
      <c r="N26" s="59">
        <v>1.7867135999999999</v>
      </c>
      <c r="O26" s="63">
        <v>54.713799999999999</v>
      </c>
      <c r="P26" s="59">
        <v>1.9321996269999999</v>
      </c>
      <c r="Q26" s="59">
        <v>2.0134678400000001</v>
      </c>
      <c r="R26" s="63">
        <v>70.927999999999997</v>
      </c>
      <c r="S26" s="59">
        <v>2.5047987009999999</v>
      </c>
      <c r="T26" s="58">
        <v>2.6101504000000002</v>
      </c>
    </row>
    <row r="27" spans="2:20" x14ac:dyDescent="0.25">
      <c r="B27" s="54" t="s">
        <v>161</v>
      </c>
      <c r="C27" s="53">
        <v>226935.9773</v>
      </c>
      <c r="D27" s="53">
        <v>8014.1684687139996</v>
      </c>
      <c r="E27" s="53">
        <v>8476.1757779</v>
      </c>
      <c r="F27" s="55">
        <v>234593.39929999999</v>
      </c>
      <c r="G27" s="53">
        <v>8284.5877764979996</v>
      </c>
      <c r="H27" s="53">
        <v>8767.0506717799999</v>
      </c>
      <c r="I27" s="55">
        <v>242704.9215</v>
      </c>
      <c r="J27" s="53">
        <v>8571.0434820600003</v>
      </c>
      <c r="K27" s="53">
        <v>9079.2299428200004</v>
      </c>
      <c r="L27" s="55">
        <v>11750.640299999999</v>
      </c>
      <c r="M27" s="53">
        <v>414.96994926799999</v>
      </c>
      <c r="N27" s="53">
        <v>451.69038382999997</v>
      </c>
      <c r="O27" s="55">
        <v>19408.062399999999</v>
      </c>
      <c r="P27" s="53">
        <v>685.38926072100003</v>
      </c>
      <c r="Q27" s="53">
        <v>742.56528122999998</v>
      </c>
      <c r="R27" s="55">
        <v>27519.584500000001</v>
      </c>
      <c r="S27" s="53">
        <v>971.84496270199998</v>
      </c>
      <c r="T27" s="52">
        <v>1054.7445485799999</v>
      </c>
    </row>
    <row r="28" spans="2:20" x14ac:dyDescent="0.25">
      <c r="B28" s="50" t="s">
        <v>163</v>
      </c>
      <c r="C28" s="64">
        <v>230937.12603106399</v>
      </c>
      <c r="D28" s="64">
        <v>8155.7249666278303</v>
      </c>
      <c r="E28" s="64">
        <v>8625.2043453007409</v>
      </c>
      <c r="F28" s="51">
        <v>234436.15294763201</v>
      </c>
      <c r="G28" s="64">
        <v>8279.4914208067294</v>
      </c>
      <c r="H28" s="64">
        <v>8760.3988028105705</v>
      </c>
      <c r="I28" s="51">
        <v>238458.55280919801</v>
      </c>
      <c r="J28" s="64">
        <v>8420.3373992824509</v>
      </c>
      <c r="K28" s="64">
        <v>8917.5989431954604</v>
      </c>
      <c r="L28" s="51">
        <v>15896.928468611801</v>
      </c>
      <c r="M28" s="64">
        <v>561.671954225175</v>
      </c>
      <c r="N28" s="64">
        <v>604.74478166069696</v>
      </c>
      <c r="O28" s="51">
        <v>19122.571686343799</v>
      </c>
      <c r="P28" s="64">
        <v>676.10826730017595</v>
      </c>
      <c r="Q28" s="64">
        <v>730.61159548868295</v>
      </c>
      <c r="R28" s="51">
        <v>23325.998986722399</v>
      </c>
      <c r="S28" s="64">
        <v>823.67907784079</v>
      </c>
      <c r="T28" s="49">
        <v>894.41269507029699</v>
      </c>
    </row>
  </sheetData>
  <mergeCells count="8">
    <mergeCell ref="B2:T2"/>
    <mergeCell ref="B4:B5"/>
    <mergeCell ref="C4:E4"/>
    <mergeCell ref="F4:H4"/>
    <mergeCell ref="I4:K4"/>
    <mergeCell ref="L4:N4"/>
    <mergeCell ref="O4:Q4"/>
    <mergeCell ref="R4:T4"/>
  </mergeCells>
  <pageMargins left="0.05" right="0.05" top="0.5" bottom="0.5" header="0" footer="0"/>
  <pageSetup paperSize="8"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072"/>
    <pageSetUpPr fitToPage="1"/>
  </sheetPr>
  <dimension ref="B2:N13"/>
  <sheetViews>
    <sheetView showGridLines="0" zoomScale="85" zoomScaleNormal="85" zoomScalePageLayoutView="85" workbookViewId="0"/>
  </sheetViews>
  <sheetFormatPr defaultColWidth="11.42578125" defaultRowHeight="15" x14ac:dyDescent="0.25"/>
  <cols>
    <col min="2" max="2" width="18.42578125" customWidth="1"/>
    <col min="3" max="9" width="11.42578125" customWidth="1"/>
    <col min="10" max="10" width="10.5703125" customWidth="1"/>
    <col min="11" max="11" width="11.42578125" customWidth="1"/>
    <col min="12" max="12" width="10.5703125" customWidth="1"/>
    <col min="13" max="13" width="11.42578125" customWidth="1"/>
    <col min="14" max="14" width="10.5703125" customWidth="1"/>
  </cols>
  <sheetData>
    <row r="2" spans="2:14" ht="17.100000000000001" customHeight="1" x14ac:dyDescent="0.35">
      <c r="B2" s="242" t="s">
        <v>166</v>
      </c>
      <c r="C2" s="243"/>
      <c r="D2" s="243"/>
      <c r="E2" s="243"/>
      <c r="F2" s="243"/>
      <c r="G2" s="243"/>
      <c r="H2" s="243"/>
      <c r="I2" s="243"/>
      <c r="J2" s="243"/>
      <c r="K2" s="243"/>
      <c r="L2" s="243"/>
      <c r="M2" s="243"/>
      <c r="N2" s="243"/>
    </row>
    <row r="3" spans="2:14" ht="12" customHeight="1" x14ac:dyDescent="0.25"/>
    <row r="4" spans="2:14" ht="32.25" customHeight="1" x14ac:dyDescent="0.25">
      <c r="B4" s="244" t="s">
        <v>0</v>
      </c>
      <c r="C4" s="253" t="s">
        <v>2</v>
      </c>
      <c r="D4" s="252"/>
      <c r="E4" s="253" t="s">
        <v>3</v>
      </c>
      <c r="F4" s="252"/>
      <c r="G4" s="253" t="s">
        <v>4</v>
      </c>
      <c r="H4" s="252"/>
      <c r="I4" s="253" t="s">
        <v>5</v>
      </c>
      <c r="J4" s="252"/>
      <c r="K4" s="253" t="s">
        <v>6</v>
      </c>
      <c r="L4" s="252"/>
      <c r="M4" s="253" t="s">
        <v>7</v>
      </c>
      <c r="N4" s="254"/>
    </row>
    <row r="5" spans="2:14" ht="15" customHeight="1" x14ac:dyDescent="0.25">
      <c r="B5" s="245"/>
      <c r="C5" s="23" t="s">
        <v>9</v>
      </c>
      <c r="D5" s="24" t="s">
        <v>8</v>
      </c>
      <c r="E5" s="23" t="s">
        <v>9</v>
      </c>
      <c r="F5" s="24" t="s">
        <v>8</v>
      </c>
      <c r="G5" s="23" t="s">
        <v>9</v>
      </c>
      <c r="H5" s="24" t="s">
        <v>8</v>
      </c>
      <c r="I5" s="23" t="s">
        <v>9</v>
      </c>
      <c r="J5" s="24" t="s">
        <v>8</v>
      </c>
      <c r="K5" s="23" t="s">
        <v>9</v>
      </c>
      <c r="L5" s="24" t="s">
        <v>8</v>
      </c>
      <c r="M5" s="23" t="s">
        <v>9</v>
      </c>
      <c r="N5" s="26" t="s">
        <v>8</v>
      </c>
    </row>
    <row r="6" spans="2:14" x14ac:dyDescent="0.25">
      <c r="B6" s="69" t="s">
        <v>144</v>
      </c>
      <c r="C6" s="65">
        <v>1452.4477979999999</v>
      </c>
      <c r="D6" s="65">
        <v>72.622389900000002</v>
      </c>
      <c r="E6" s="71">
        <v>1535.957578</v>
      </c>
      <c r="F6" s="65">
        <v>76.797878890000007</v>
      </c>
      <c r="G6" s="71">
        <v>1602.9095420000001</v>
      </c>
      <c r="H6" s="65">
        <v>80.145477080000006</v>
      </c>
      <c r="I6" s="71">
        <v>107.86679789999999</v>
      </c>
      <c r="J6" s="65">
        <v>5.3933398950000004</v>
      </c>
      <c r="K6" s="71">
        <v>191.37657780000001</v>
      </c>
      <c r="L6" s="65">
        <v>9.5688288900000007</v>
      </c>
      <c r="M6" s="71">
        <v>258.32854149999997</v>
      </c>
      <c r="N6" s="66">
        <v>12.91642708</v>
      </c>
    </row>
    <row r="7" spans="2:14" x14ac:dyDescent="0.25">
      <c r="B7" s="70" t="s">
        <v>146</v>
      </c>
      <c r="C7" s="68">
        <v>34.636029000000001</v>
      </c>
      <c r="D7" s="68">
        <v>1.6659929950000001</v>
      </c>
      <c r="E7" s="72">
        <v>34.636029000000001</v>
      </c>
      <c r="F7" s="68">
        <v>1.6659929950000001</v>
      </c>
      <c r="G7" s="72">
        <v>34.636029000000001</v>
      </c>
      <c r="H7" s="68">
        <v>1.6659929950000001</v>
      </c>
      <c r="I7" s="72">
        <v>0</v>
      </c>
      <c r="J7" s="68">
        <v>0</v>
      </c>
      <c r="K7" s="72">
        <v>0</v>
      </c>
      <c r="L7" s="68">
        <v>0</v>
      </c>
      <c r="M7" s="72">
        <v>0</v>
      </c>
      <c r="N7" s="67">
        <v>0</v>
      </c>
    </row>
    <row r="8" spans="2:14" x14ac:dyDescent="0.25">
      <c r="B8" s="70" t="s">
        <v>148</v>
      </c>
      <c r="C8" s="68">
        <v>1566</v>
      </c>
      <c r="D8" s="68">
        <v>77.203800000000001</v>
      </c>
      <c r="E8" s="72">
        <v>1675</v>
      </c>
      <c r="F8" s="68">
        <v>82.577500000000001</v>
      </c>
      <c r="G8" s="72">
        <v>1785</v>
      </c>
      <c r="H8" s="68">
        <v>88.000500000000002</v>
      </c>
      <c r="I8" s="72">
        <v>173.21298999999999</v>
      </c>
      <c r="J8" s="68">
        <v>8.5394004070000005</v>
      </c>
      <c r="K8" s="72">
        <v>282.21298999999999</v>
      </c>
      <c r="L8" s="68">
        <v>13.91310041</v>
      </c>
      <c r="M8" s="72">
        <v>392.21298999999999</v>
      </c>
      <c r="N8" s="67">
        <v>19.33610041</v>
      </c>
    </row>
    <row r="9" spans="2:14" x14ac:dyDescent="0.25">
      <c r="B9" s="70" t="s">
        <v>150</v>
      </c>
      <c r="C9" s="68">
        <v>112.297038</v>
      </c>
      <c r="D9" s="68">
        <v>6.1763370899999996</v>
      </c>
      <c r="E9" s="72">
        <v>126.60199799999999</v>
      </c>
      <c r="F9" s="68">
        <v>6.9631098900000001</v>
      </c>
      <c r="G9" s="72">
        <v>133.12153799999999</v>
      </c>
      <c r="H9" s="68">
        <v>7.3216845900000003</v>
      </c>
      <c r="I9" s="72">
        <v>7.70289</v>
      </c>
      <c r="J9" s="68">
        <v>0.42365894999999998</v>
      </c>
      <c r="K9" s="72">
        <v>22.007850000000001</v>
      </c>
      <c r="L9" s="68">
        <v>1.2104317499999999</v>
      </c>
      <c r="M9" s="72">
        <v>28.52739</v>
      </c>
      <c r="N9" s="67">
        <v>1.5690064500000001</v>
      </c>
    </row>
    <row r="10" spans="2:14" x14ac:dyDescent="0.25">
      <c r="B10" s="70" t="s">
        <v>151</v>
      </c>
      <c r="C10" s="68">
        <v>3447.4859931999999</v>
      </c>
      <c r="D10" s="68">
        <v>158.82567974899999</v>
      </c>
      <c r="E10" s="72">
        <v>3454.4409931999999</v>
      </c>
      <c r="F10" s="68">
        <v>159.14609654899999</v>
      </c>
      <c r="G10" s="72">
        <v>3458.1859932000002</v>
      </c>
      <c r="H10" s="68">
        <v>159.318628749</v>
      </c>
      <c r="I10" s="72">
        <v>0</v>
      </c>
      <c r="J10" s="68">
        <v>0</v>
      </c>
      <c r="K10" s="72">
        <v>6.9550000000000001</v>
      </c>
      <c r="L10" s="68">
        <v>0.32041684999999998</v>
      </c>
      <c r="M10" s="72">
        <v>10.7</v>
      </c>
      <c r="N10" s="67">
        <v>0.49294900000000003</v>
      </c>
    </row>
    <row r="11" spans="2:14" x14ac:dyDescent="0.25">
      <c r="B11" s="70" t="s">
        <v>155</v>
      </c>
      <c r="C11" s="68">
        <v>9.2577476000000001</v>
      </c>
      <c r="D11" s="68">
        <v>0.44529765999999998</v>
      </c>
      <c r="E11" s="72">
        <v>9.2577476000000001</v>
      </c>
      <c r="F11" s="68">
        <v>0.44529765999999998</v>
      </c>
      <c r="G11" s="72">
        <v>9.2577476000000001</v>
      </c>
      <c r="H11" s="68">
        <v>0.44529765999999998</v>
      </c>
      <c r="I11" s="72">
        <v>0</v>
      </c>
      <c r="J11" s="68">
        <v>0</v>
      </c>
      <c r="K11" s="72">
        <v>0</v>
      </c>
      <c r="L11" s="68">
        <v>0</v>
      </c>
      <c r="M11" s="72">
        <v>0</v>
      </c>
      <c r="N11" s="67">
        <v>0</v>
      </c>
    </row>
    <row r="12" spans="2:14" x14ac:dyDescent="0.25">
      <c r="B12" s="79" t="s">
        <v>161</v>
      </c>
      <c r="C12" s="78">
        <v>6622.1246057999997</v>
      </c>
      <c r="D12" s="78">
        <v>316.939497394</v>
      </c>
      <c r="E12" s="80">
        <v>6835.8943458000003</v>
      </c>
      <c r="F12" s="78">
        <v>327.59587598399997</v>
      </c>
      <c r="G12" s="80">
        <v>7023.1108498000003</v>
      </c>
      <c r="H12" s="78">
        <v>336.89758107400002</v>
      </c>
      <c r="I12" s="80">
        <v>288.78267790000001</v>
      </c>
      <c r="J12" s="78">
        <v>14.356399251999999</v>
      </c>
      <c r="K12" s="80">
        <v>502.5524178</v>
      </c>
      <c r="L12" s="78">
        <v>25.0127779</v>
      </c>
      <c r="M12" s="80">
        <v>689.76892150000003</v>
      </c>
      <c r="N12" s="77">
        <v>34.314482939999998</v>
      </c>
    </row>
    <row r="13" spans="2:14" x14ac:dyDescent="0.25">
      <c r="B13" s="75" t="s">
        <v>163</v>
      </c>
      <c r="C13" s="73">
        <v>6698.4195175352697</v>
      </c>
      <c r="D13" s="73">
        <v>320.81611338660798</v>
      </c>
      <c r="E13" s="76">
        <v>6833.8995213978496</v>
      </c>
      <c r="F13" s="73">
        <v>327.48912024909203</v>
      </c>
      <c r="G13" s="76">
        <v>6976.2287667584797</v>
      </c>
      <c r="H13" s="73">
        <v>334.48668497237901</v>
      </c>
      <c r="I13" s="76">
        <v>374.95132522165102</v>
      </c>
      <c r="J13" s="73">
        <v>18.6885712048194</v>
      </c>
      <c r="K13" s="76">
        <v>490.31547501951502</v>
      </c>
      <c r="L13" s="73">
        <v>24.421504489675101</v>
      </c>
      <c r="M13" s="76">
        <v>644.80484756798603</v>
      </c>
      <c r="N13" s="74">
        <v>32.081620612504999</v>
      </c>
    </row>
  </sheetData>
  <mergeCells count="8">
    <mergeCell ref="B2:N2"/>
    <mergeCell ref="B4:B5"/>
    <mergeCell ref="C4:D4"/>
    <mergeCell ref="E4:F4"/>
    <mergeCell ref="G4:H4"/>
    <mergeCell ref="I4:J4"/>
    <mergeCell ref="K4:L4"/>
    <mergeCell ref="M4:N4"/>
  </mergeCells>
  <pageMargins left="0.05" right="0.05" top="0.5" bottom="0.5" header="0" footer="0"/>
  <pageSetup paperSize="8"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6072"/>
    <pageSetUpPr fitToPage="1"/>
  </sheetPr>
  <dimension ref="B2:T29"/>
  <sheetViews>
    <sheetView showGridLines="0" zoomScale="85" zoomScaleNormal="85" zoomScalePageLayoutView="85" workbookViewId="0"/>
  </sheetViews>
  <sheetFormatPr defaultColWidth="11.42578125" defaultRowHeight="15" x14ac:dyDescent="0.25"/>
  <cols>
    <col min="2" max="2" width="35.140625" customWidth="1"/>
    <col min="3" max="5" width="22" customWidth="1"/>
    <col min="6" max="8" width="21.140625" customWidth="1"/>
  </cols>
  <sheetData>
    <row r="2" spans="2:20" ht="17.100000000000001" customHeight="1" x14ac:dyDescent="0.35">
      <c r="B2" s="242" t="s">
        <v>167</v>
      </c>
      <c r="C2" s="243"/>
      <c r="D2" s="243"/>
      <c r="E2" s="243"/>
      <c r="F2" s="243"/>
      <c r="G2" s="243"/>
      <c r="H2" s="243"/>
    </row>
    <row r="3" spans="2:20" ht="12" customHeight="1" x14ac:dyDescent="0.25">
      <c r="B3" s="238" t="s">
        <v>86</v>
      </c>
      <c r="C3" s="238"/>
      <c r="D3" s="238"/>
      <c r="E3" s="238"/>
      <c r="F3" s="238"/>
      <c r="G3" s="238"/>
      <c r="H3" s="238"/>
      <c r="I3" s="82"/>
      <c r="J3" s="82"/>
      <c r="K3" s="82"/>
      <c r="L3" s="82"/>
      <c r="M3" s="82"/>
      <c r="N3" s="82"/>
      <c r="O3" s="82"/>
      <c r="P3" s="82"/>
      <c r="Q3" s="82"/>
      <c r="R3" s="82"/>
      <c r="S3" s="82"/>
      <c r="T3" s="82"/>
    </row>
    <row r="4" spans="2:20" ht="12" customHeight="1" x14ac:dyDescent="0.25"/>
    <row r="5" spans="2:20" ht="32.25" customHeight="1" x14ac:dyDescent="0.25">
      <c r="B5" s="244" t="s">
        <v>0</v>
      </c>
      <c r="C5" s="27" t="s">
        <v>2</v>
      </c>
      <c r="D5" s="27" t="s">
        <v>3</v>
      </c>
      <c r="E5" s="27" t="s">
        <v>4</v>
      </c>
      <c r="F5" s="27" t="s">
        <v>5</v>
      </c>
      <c r="G5" s="27" t="s">
        <v>6</v>
      </c>
      <c r="H5" s="28" t="s">
        <v>7</v>
      </c>
    </row>
    <row r="6" spans="2:20" ht="17.100000000000001" customHeight="1" x14ac:dyDescent="0.25">
      <c r="B6" s="245"/>
      <c r="C6" s="83" t="s">
        <v>8</v>
      </c>
      <c r="D6" s="83" t="s">
        <v>8</v>
      </c>
      <c r="E6" s="83" t="s">
        <v>8</v>
      </c>
      <c r="F6" s="83" t="s">
        <v>8</v>
      </c>
      <c r="G6" s="83" t="s">
        <v>8</v>
      </c>
      <c r="H6" s="84" t="s">
        <v>8</v>
      </c>
    </row>
    <row r="7" spans="2:20" x14ac:dyDescent="0.25">
      <c r="B7" s="87" t="s">
        <v>138</v>
      </c>
      <c r="C7" s="85">
        <v>6.9601227000000003</v>
      </c>
      <c r="D7" s="89">
        <v>8.6388391999999996</v>
      </c>
      <c r="E7" s="89">
        <v>10.1774849</v>
      </c>
      <c r="F7" s="89">
        <v>0.77824119999999997</v>
      </c>
      <c r="G7" s="89">
        <v>2.4569576999999998</v>
      </c>
      <c r="H7" s="91">
        <v>3.9956033999999998</v>
      </c>
    </row>
    <row r="8" spans="2:20" x14ac:dyDescent="0.25">
      <c r="B8" s="88" t="s">
        <v>140</v>
      </c>
      <c r="C8" s="86">
        <v>4.6873420000000001</v>
      </c>
      <c r="D8" s="90">
        <v>5.0911160000000004</v>
      </c>
      <c r="E8" s="90">
        <v>5.3454604000000003</v>
      </c>
      <c r="F8" s="90">
        <v>0.25072040000000001</v>
      </c>
      <c r="G8" s="90">
        <v>0.65449440000000003</v>
      </c>
      <c r="H8" s="92">
        <v>0.90883879999999995</v>
      </c>
    </row>
    <row r="9" spans="2:20" x14ac:dyDescent="0.25">
      <c r="B9" s="88" t="s">
        <v>141</v>
      </c>
      <c r="C9" s="86">
        <v>2.4464332799999999</v>
      </c>
      <c r="D9" s="90">
        <v>2.44817522</v>
      </c>
      <c r="E9" s="90">
        <v>2.4493966600000001</v>
      </c>
      <c r="F9" s="90">
        <v>2.51922E-3</v>
      </c>
      <c r="G9" s="90">
        <v>4.2611599999999999E-3</v>
      </c>
      <c r="H9" s="92">
        <v>5.4825999999999998E-3</v>
      </c>
    </row>
    <row r="10" spans="2:20" x14ac:dyDescent="0.25">
      <c r="B10" s="88" t="s">
        <v>142</v>
      </c>
      <c r="C10" s="86">
        <v>94.733925139999997</v>
      </c>
      <c r="D10" s="90">
        <v>104.33537013999999</v>
      </c>
      <c r="E10" s="90">
        <v>113.75816514</v>
      </c>
      <c r="F10" s="90">
        <v>28.466885000000001</v>
      </c>
      <c r="G10" s="90">
        <v>38.068330000000003</v>
      </c>
      <c r="H10" s="92">
        <v>47.491124999999997</v>
      </c>
    </row>
    <row r="11" spans="2:20" x14ac:dyDescent="0.25">
      <c r="B11" s="88" t="s">
        <v>165</v>
      </c>
      <c r="C11" s="86">
        <v>0.101088</v>
      </c>
      <c r="D11" s="90">
        <v>0.17830799999999999</v>
      </c>
      <c r="E11" s="90">
        <v>0.30817800000000001</v>
      </c>
      <c r="F11" s="90">
        <v>6.3881999999999994E-2</v>
      </c>
      <c r="G11" s="90">
        <v>0.14110200000000001</v>
      </c>
      <c r="H11" s="92">
        <v>0.27097199999999999</v>
      </c>
    </row>
    <row r="12" spans="2:20" x14ac:dyDescent="0.25">
      <c r="B12" s="88" t="s">
        <v>144</v>
      </c>
      <c r="C12" s="86">
        <v>1201.6259309</v>
      </c>
      <c r="D12" s="90">
        <v>1235.9264468900001</v>
      </c>
      <c r="E12" s="90">
        <v>1263.4279690799999</v>
      </c>
      <c r="F12" s="90">
        <v>44.298042154999997</v>
      </c>
      <c r="G12" s="90">
        <v>78.598558389999994</v>
      </c>
      <c r="H12" s="92">
        <v>106.10008068</v>
      </c>
    </row>
    <row r="13" spans="2:20" x14ac:dyDescent="0.25">
      <c r="B13" s="88" t="s">
        <v>146</v>
      </c>
      <c r="C13" s="86">
        <v>30.306869275</v>
      </c>
      <c r="D13" s="90">
        <v>30.306869275</v>
      </c>
      <c r="E13" s="90">
        <v>30.306869275</v>
      </c>
      <c r="F13" s="90">
        <v>0</v>
      </c>
      <c r="G13" s="90">
        <v>0</v>
      </c>
      <c r="H13" s="92">
        <v>0</v>
      </c>
    </row>
    <row r="14" spans="2:20" x14ac:dyDescent="0.25">
      <c r="B14" s="88" t="s">
        <v>147</v>
      </c>
      <c r="C14" s="86">
        <v>59.42680361</v>
      </c>
      <c r="D14" s="90">
        <v>65.33129461</v>
      </c>
      <c r="E14" s="90">
        <v>69.710494609999998</v>
      </c>
      <c r="F14" s="90">
        <v>4.8718599999999999</v>
      </c>
      <c r="G14" s="90">
        <v>10.776351</v>
      </c>
      <c r="H14" s="92">
        <v>15.155551000000001</v>
      </c>
    </row>
    <row r="15" spans="2:20" x14ac:dyDescent="0.25">
      <c r="B15" s="88" t="s">
        <v>148</v>
      </c>
      <c r="C15" s="86">
        <v>452.67196560000002</v>
      </c>
      <c r="D15" s="90">
        <v>483.07687559999999</v>
      </c>
      <c r="E15" s="90">
        <v>513.53108550000002</v>
      </c>
      <c r="F15" s="90">
        <v>48.205137456999999</v>
      </c>
      <c r="G15" s="90">
        <v>78.610047429999995</v>
      </c>
      <c r="H15" s="92">
        <v>109.0642574</v>
      </c>
    </row>
    <row r="16" spans="2:20" x14ac:dyDescent="0.25">
      <c r="B16" s="88" t="s">
        <v>149</v>
      </c>
      <c r="C16" s="86">
        <v>61.001273300000001</v>
      </c>
      <c r="D16" s="90">
        <v>62.9102733</v>
      </c>
      <c r="E16" s="90">
        <v>65.400273299999995</v>
      </c>
      <c r="F16" s="90">
        <v>2.1995</v>
      </c>
      <c r="G16" s="90">
        <v>4.1085000000000003</v>
      </c>
      <c r="H16" s="92">
        <v>6.5984999999999996</v>
      </c>
    </row>
    <row r="17" spans="2:8" x14ac:dyDescent="0.25">
      <c r="B17" s="88" t="s">
        <v>150</v>
      </c>
      <c r="C17" s="86">
        <v>503.50530213000002</v>
      </c>
      <c r="D17" s="90">
        <v>553.12231521000001</v>
      </c>
      <c r="E17" s="90">
        <v>610.22778985000002</v>
      </c>
      <c r="F17" s="90">
        <v>46.262049670000003</v>
      </c>
      <c r="G17" s="90">
        <v>95.879066649999999</v>
      </c>
      <c r="H17" s="92">
        <v>152.98453737</v>
      </c>
    </row>
    <row r="18" spans="2:8" x14ac:dyDescent="0.25">
      <c r="B18" s="88" t="s">
        <v>151</v>
      </c>
      <c r="C18" s="86">
        <v>4422.9670917490002</v>
      </c>
      <c r="D18" s="90">
        <v>4431.5653085490003</v>
      </c>
      <c r="E18" s="90">
        <v>4435.501540749</v>
      </c>
      <c r="F18" s="90">
        <v>0</v>
      </c>
      <c r="G18" s="90">
        <v>8.59821685</v>
      </c>
      <c r="H18" s="92">
        <v>12.534449</v>
      </c>
    </row>
    <row r="19" spans="2:8" x14ac:dyDescent="0.25">
      <c r="B19" s="88" t="s">
        <v>152</v>
      </c>
      <c r="C19" s="86">
        <v>232.04203899999999</v>
      </c>
      <c r="D19" s="90">
        <v>234.06639860000001</v>
      </c>
      <c r="E19" s="90">
        <v>235.1234417</v>
      </c>
      <c r="F19" s="90">
        <v>1.23878088</v>
      </c>
      <c r="G19" s="90">
        <v>3.2631362099999999</v>
      </c>
      <c r="H19" s="92">
        <v>4.32017937</v>
      </c>
    </row>
    <row r="20" spans="2:8" x14ac:dyDescent="0.25">
      <c r="B20" s="88" t="s">
        <v>153</v>
      </c>
      <c r="C20" s="86">
        <v>1136.648592</v>
      </c>
      <c r="D20" s="90">
        <v>1157.5141920000001</v>
      </c>
      <c r="E20" s="90">
        <v>1187.860392</v>
      </c>
      <c r="F20" s="90">
        <v>30.5946</v>
      </c>
      <c r="G20" s="90">
        <v>51.4602</v>
      </c>
      <c r="H20" s="92">
        <v>81.806399999999996</v>
      </c>
    </row>
    <row r="21" spans="2:8" x14ac:dyDescent="0.25">
      <c r="B21" s="88" t="s">
        <v>154</v>
      </c>
      <c r="C21" s="86">
        <v>5.8492763999999999</v>
      </c>
      <c r="D21" s="90">
        <v>8.5737564000000006</v>
      </c>
      <c r="E21" s="90">
        <v>12.1701564</v>
      </c>
      <c r="F21" s="90">
        <v>3.7022400000000002</v>
      </c>
      <c r="G21" s="90">
        <v>6.4267200000000004</v>
      </c>
      <c r="H21" s="92">
        <v>10.02312</v>
      </c>
    </row>
    <row r="22" spans="2:8" x14ac:dyDescent="0.25">
      <c r="B22" s="88" t="s">
        <v>155</v>
      </c>
      <c r="C22" s="86">
        <v>3.8421840999999999</v>
      </c>
      <c r="D22" s="90">
        <v>3.8421840999999999</v>
      </c>
      <c r="E22" s="90">
        <v>3.8421840999999999</v>
      </c>
      <c r="F22" s="90">
        <v>0</v>
      </c>
      <c r="G22" s="90">
        <v>0</v>
      </c>
      <c r="H22" s="92">
        <v>0</v>
      </c>
    </row>
    <row r="23" spans="2:8" x14ac:dyDescent="0.25">
      <c r="B23" s="88" t="s">
        <v>156</v>
      </c>
      <c r="C23" s="86">
        <v>5.69101225</v>
      </c>
      <c r="D23" s="90">
        <v>5.9361032500000004</v>
      </c>
      <c r="E23" s="90">
        <v>6.04351825</v>
      </c>
      <c r="F23" s="90">
        <v>0.38596249999999999</v>
      </c>
      <c r="G23" s="90">
        <v>0.63105350000000004</v>
      </c>
      <c r="H23" s="92">
        <v>0.73846849999999997</v>
      </c>
    </row>
    <row r="24" spans="2:8" x14ac:dyDescent="0.25">
      <c r="B24" s="88" t="s">
        <v>157</v>
      </c>
      <c r="C24" s="86">
        <v>0.33467743999999999</v>
      </c>
      <c r="D24" s="90">
        <v>0.34123944</v>
      </c>
      <c r="E24" s="90">
        <v>0.34780144000000002</v>
      </c>
      <c r="F24" s="90">
        <v>5.79E-3</v>
      </c>
      <c r="G24" s="90">
        <v>1.2352E-2</v>
      </c>
      <c r="H24" s="92">
        <v>1.8914E-2</v>
      </c>
    </row>
    <row r="25" spans="2:8" x14ac:dyDescent="0.25">
      <c r="B25" s="88" t="s">
        <v>158</v>
      </c>
      <c r="C25" s="86">
        <v>68.515939360000004</v>
      </c>
      <c r="D25" s="90">
        <v>69.419216359999993</v>
      </c>
      <c r="E25" s="90">
        <v>70.322050360000006</v>
      </c>
      <c r="F25" s="90">
        <v>5.419219</v>
      </c>
      <c r="G25" s="90">
        <v>6.3224960000000001</v>
      </c>
      <c r="H25" s="92">
        <v>7.2253299999999996</v>
      </c>
    </row>
    <row r="26" spans="2:8" x14ac:dyDescent="0.25">
      <c r="B26" s="88" t="s">
        <v>159</v>
      </c>
      <c r="C26" s="86">
        <v>467.09765729999998</v>
      </c>
      <c r="D26" s="90">
        <v>599.1357653</v>
      </c>
      <c r="E26" s="90">
        <v>746.79008929999998</v>
      </c>
      <c r="F26" s="90">
        <v>247.51464000000001</v>
      </c>
      <c r="G26" s="90">
        <v>379.55274800000001</v>
      </c>
      <c r="H26" s="92">
        <v>527.20707200000004</v>
      </c>
    </row>
    <row r="27" spans="2:8" x14ac:dyDescent="0.25">
      <c r="B27" s="88" t="s">
        <v>160</v>
      </c>
      <c r="C27" s="86">
        <v>32.659749759999997</v>
      </c>
      <c r="D27" s="90">
        <v>32.886500320000003</v>
      </c>
      <c r="E27" s="90">
        <v>33.483182880000001</v>
      </c>
      <c r="F27" s="90">
        <v>1.7867135999999999</v>
      </c>
      <c r="G27" s="90">
        <v>2.0134678400000001</v>
      </c>
      <c r="H27" s="92">
        <v>2.6101504000000002</v>
      </c>
    </row>
    <row r="28" spans="2:8" x14ac:dyDescent="0.25">
      <c r="B28" s="98" t="s">
        <v>161</v>
      </c>
      <c r="C28" s="97">
        <v>8793.1152752939997</v>
      </c>
      <c r="D28" s="99">
        <v>9094.6465477639995</v>
      </c>
      <c r="E28" s="99">
        <v>9416.1275238939998</v>
      </c>
      <c r="F28" s="99">
        <v>466.04678308199999</v>
      </c>
      <c r="G28" s="99">
        <v>767.57805913000004</v>
      </c>
      <c r="H28" s="81">
        <v>1089.05903152</v>
      </c>
    </row>
    <row r="29" spans="2:8" x14ac:dyDescent="0.25">
      <c r="B29" s="94" t="s">
        <v>163</v>
      </c>
      <c r="C29" s="93">
        <v>8952.2472671718897</v>
      </c>
      <c r="D29" s="95">
        <v>9087.3986976758497</v>
      </c>
      <c r="E29" s="95">
        <v>9245.24820481196</v>
      </c>
      <c r="F29" s="95">
        <v>629.54448953972599</v>
      </c>
      <c r="G29" s="95">
        <v>756.16706433938805</v>
      </c>
      <c r="H29" s="96">
        <v>920.03684382412405</v>
      </c>
    </row>
  </sheetData>
  <mergeCells count="3">
    <mergeCell ref="B3:H3"/>
    <mergeCell ref="B2:H2"/>
    <mergeCell ref="B5:B6"/>
  </mergeCells>
  <pageMargins left="0.05" right="0.05" top="0.5" bottom="0.5" header="0" footer="0"/>
  <pageSetup paperSize="9" orientation="landscape"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38B21"/>
    <pageSetUpPr fitToPage="1"/>
  </sheetPr>
  <dimension ref="B2:H27"/>
  <sheetViews>
    <sheetView showGridLines="0" zoomScale="85" zoomScaleNormal="85" workbookViewId="0"/>
  </sheetViews>
  <sheetFormatPr defaultColWidth="11.42578125" defaultRowHeight="15" x14ac:dyDescent="0.25"/>
  <cols>
    <col min="1" max="1" width="10.140625" customWidth="1"/>
    <col min="2" max="2" width="34" customWidth="1"/>
    <col min="3" max="4" width="15.5703125" customWidth="1"/>
    <col min="5" max="8" width="15.85546875" customWidth="1"/>
  </cols>
  <sheetData>
    <row r="2" spans="2:8" ht="17.100000000000001" customHeight="1" x14ac:dyDescent="0.35">
      <c r="B2" s="242" t="s">
        <v>168</v>
      </c>
      <c r="C2" s="243"/>
      <c r="D2" s="243"/>
      <c r="E2" s="243"/>
      <c r="F2" s="243"/>
      <c r="G2" s="243"/>
      <c r="H2" s="243"/>
    </row>
    <row r="3" spans="2:8" ht="12" customHeight="1" x14ac:dyDescent="0.25"/>
    <row r="4" spans="2:8" ht="17.100000000000001" customHeight="1" x14ac:dyDescent="0.25">
      <c r="B4" s="259" t="s">
        <v>10</v>
      </c>
      <c r="C4" s="261" t="s">
        <v>11</v>
      </c>
      <c r="D4" s="261"/>
      <c r="E4" s="262" t="s">
        <v>12</v>
      </c>
      <c r="F4" s="263"/>
      <c r="G4" s="261" t="s">
        <v>216</v>
      </c>
      <c r="H4" s="264"/>
    </row>
    <row r="5" spans="2:8" ht="17.100000000000001" customHeight="1" x14ac:dyDescent="0.25">
      <c r="B5" s="260"/>
      <c r="C5" s="100" t="s">
        <v>13</v>
      </c>
      <c r="D5" s="100" t="s">
        <v>14</v>
      </c>
      <c r="E5" s="101" t="s">
        <v>13</v>
      </c>
      <c r="F5" s="102" t="s">
        <v>14</v>
      </c>
      <c r="G5" s="100" t="s">
        <v>13</v>
      </c>
      <c r="H5" s="103" t="s">
        <v>14</v>
      </c>
    </row>
    <row r="6" spans="2:8" x14ac:dyDescent="0.25">
      <c r="B6" s="108" t="s">
        <v>140</v>
      </c>
      <c r="C6" s="104">
        <v>0.25004999999999999</v>
      </c>
      <c r="D6" s="104">
        <v>1.042E-2</v>
      </c>
      <c r="E6" s="110">
        <v>0</v>
      </c>
      <c r="F6" s="104">
        <v>0</v>
      </c>
      <c r="G6" s="110">
        <v>0.2198</v>
      </c>
      <c r="H6" s="105">
        <v>9.1599999999999997E-3</v>
      </c>
    </row>
    <row r="7" spans="2:8" x14ac:dyDescent="0.25">
      <c r="B7" s="109" t="s">
        <v>138</v>
      </c>
      <c r="C7" s="107">
        <v>0.87780999999999998</v>
      </c>
      <c r="D7" s="107">
        <v>3.6580000000000001E-2</v>
      </c>
      <c r="E7" s="111">
        <v>0</v>
      </c>
      <c r="F7" s="107">
        <v>0</v>
      </c>
      <c r="G7" s="111">
        <v>0.74777000000000005</v>
      </c>
      <c r="H7" s="106">
        <v>3.116E-2</v>
      </c>
    </row>
    <row r="8" spans="2:8" x14ac:dyDescent="0.25">
      <c r="B8" s="109" t="s">
        <v>141</v>
      </c>
      <c r="C8" s="107">
        <v>0.1293</v>
      </c>
      <c r="D8" s="107">
        <v>5.3E-3</v>
      </c>
      <c r="E8" s="111">
        <v>0</v>
      </c>
      <c r="F8" s="107">
        <v>0</v>
      </c>
      <c r="G8" s="111">
        <v>5.8299999999999998E-2</v>
      </c>
      <c r="H8" s="106">
        <v>2.3999999999999998E-3</v>
      </c>
    </row>
    <row r="9" spans="2:8" x14ac:dyDescent="0.25">
      <c r="B9" s="109" t="s">
        <v>142</v>
      </c>
      <c r="C9" s="107">
        <v>13.5</v>
      </c>
      <c r="D9" s="107">
        <v>0.56000000000000005</v>
      </c>
      <c r="E9" s="111">
        <v>0</v>
      </c>
      <c r="F9" s="107">
        <v>0</v>
      </c>
      <c r="G9" s="111">
        <v>5.05</v>
      </c>
      <c r="H9" s="106">
        <v>0.21</v>
      </c>
    </row>
    <row r="10" spans="2:8" x14ac:dyDescent="0.25">
      <c r="B10" s="109" t="s">
        <v>144</v>
      </c>
      <c r="C10" s="107">
        <v>68.492999999999995</v>
      </c>
      <c r="D10" s="107">
        <v>2.8540000000000001</v>
      </c>
      <c r="E10" s="111">
        <v>2.1539999999999999</v>
      </c>
      <c r="F10" s="107">
        <v>0.09</v>
      </c>
      <c r="G10" s="111">
        <v>37.786000000000001</v>
      </c>
      <c r="H10" s="106">
        <v>1.5740000000000001</v>
      </c>
    </row>
    <row r="11" spans="2:8" x14ac:dyDescent="0.25">
      <c r="B11" s="109" t="s">
        <v>147</v>
      </c>
      <c r="C11" s="107">
        <v>30</v>
      </c>
      <c r="D11" s="107">
        <v>1.25</v>
      </c>
      <c r="E11" s="111">
        <v>0</v>
      </c>
      <c r="F11" s="107">
        <v>0</v>
      </c>
      <c r="G11" s="111">
        <v>0.245</v>
      </c>
      <c r="H11" s="106">
        <v>0.01</v>
      </c>
    </row>
    <row r="12" spans="2:8" x14ac:dyDescent="0.25">
      <c r="B12" s="109" t="s">
        <v>148</v>
      </c>
      <c r="C12" s="107">
        <v>77</v>
      </c>
      <c r="D12" s="107">
        <v>3.2080000000000002</v>
      </c>
      <c r="E12" s="111">
        <v>15</v>
      </c>
      <c r="F12" s="107">
        <v>0.625</v>
      </c>
      <c r="G12" s="111">
        <v>38.143000000000001</v>
      </c>
      <c r="H12" s="106">
        <v>1.589</v>
      </c>
    </row>
    <row r="13" spans="2:8" x14ac:dyDescent="0.25">
      <c r="B13" s="109" t="s">
        <v>150</v>
      </c>
      <c r="C13" s="107">
        <v>125</v>
      </c>
      <c r="D13" s="107">
        <v>5.2080000000000002</v>
      </c>
      <c r="E13" s="111">
        <v>10</v>
      </c>
      <c r="F13" s="107">
        <v>0.41599999999999998</v>
      </c>
      <c r="G13" s="111">
        <v>50.814</v>
      </c>
      <c r="H13" s="106">
        <v>2.117</v>
      </c>
    </row>
    <row r="14" spans="2:8" x14ac:dyDescent="0.25">
      <c r="B14" s="109" t="s">
        <v>151</v>
      </c>
      <c r="C14" s="107">
        <v>56.351999999999997</v>
      </c>
      <c r="D14" s="107">
        <v>2.3479999999999999</v>
      </c>
      <c r="E14" s="111">
        <v>30</v>
      </c>
      <c r="F14" s="107">
        <v>1.25</v>
      </c>
      <c r="G14" s="111">
        <v>45.984000000000002</v>
      </c>
      <c r="H14" s="106">
        <v>1.9179999999999999</v>
      </c>
    </row>
    <row r="15" spans="2:8" x14ac:dyDescent="0.25">
      <c r="B15" s="109" t="s">
        <v>152</v>
      </c>
      <c r="C15" s="107">
        <v>25</v>
      </c>
      <c r="D15" s="107">
        <v>1.042</v>
      </c>
      <c r="E15" s="111">
        <v>2.5</v>
      </c>
      <c r="F15" s="107">
        <v>0.104</v>
      </c>
      <c r="G15" s="111">
        <v>3.2650000000000001</v>
      </c>
      <c r="H15" s="106">
        <v>0.13600000000000001</v>
      </c>
    </row>
    <row r="16" spans="2:8" x14ac:dyDescent="0.25">
      <c r="B16" s="109" t="s">
        <v>153</v>
      </c>
      <c r="C16" s="107">
        <v>49.555999999999997</v>
      </c>
      <c r="D16" s="107">
        <v>2.0649999999999999</v>
      </c>
      <c r="E16" s="111">
        <v>35</v>
      </c>
      <c r="F16" s="107">
        <v>1.458</v>
      </c>
      <c r="G16" s="111">
        <v>42.002000000000002</v>
      </c>
      <c r="H16" s="106">
        <v>1.75</v>
      </c>
    </row>
    <row r="17" spans="2:8" x14ac:dyDescent="0.25">
      <c r="B17" s="109" t="s">
        <v>154</v>
      </c>
      <c r="C17" s="107">
        <v>5.0999999999999996</v>
      </c>
      <c r="D17" s="107">
        <v>0.21199999999999999</v>
      </c>
      <c r="E17" s="111">
        <v>0</v>
      </c>
      <c r="F17" s="107">
        <v>0</v>
      </c>
      <c r="G17" s="111">
        <v>0</v>
      </c>
      <c r="H17" s="106">
        <v>0</v>
      </c>
    </row>
    <row r="18" spans="2:8" x14ac:dyDescent="0.25">
      <c r="B18" s="109" t="s">
        <v>155</v>
      </c>
      <c r="C18" s="107">
        <v>1.8</v>
      </c>
      <c r="D18" s="107">
        <v>7.5999999999999998E-2</v>
      </c>
      <c r="E18" s="111">
        <v>0.6</v>
      </c>
      <c r="F18" s="107">
        <v>2.5000000000000001E-2</v>
      </c>
      <c r="G18" s="111">
        <v>0.8</v>
      </c>
      <c r="H18" s="106">
        <v>3.3000000000000002E-2</v>
      </c>
    </row>
    <row r="19" spans="2:8" x14ac:dyDescent="0.25">
      <c r="B19" s="109" t="s">
        <v>156</v>
      </c>
      <c r="C19" s="107">
        <v>0.36082999999999998</v>
      </c>
      <c r="D19" s="107">
        <v>1.503E-2</v>
      </c>
      <c r="E19" s="111">
        <v>0</v>
      </c>
      <c r="F19" s="107">
        <v>0</v>
      </c>
      <c r="G19" s="111">
        <v>0.22763</v>
      </c>
      <c r="H19" s="106">
        <v>9.4800000000000006E-3</v>
      </c>
    </row>
    <row r="20" spans="2:8" x14ac:dyDescent="0.25">
      <c r="B20" s="109" t="s">
        <v>159</v>
      </c>
      <c r="C20" s="107">
        <v>68.3</v>
      </c>
      <c r="D20" s="107">
        <v>2.8450000000000002</v>
      </c>
      <c r="E20" s="111">
        <v>0</v>
      </c>
      <c r="F20" s="107">
        <v>0</v>
      </c>
      <c r="G20" s="111">
        <v>59.36</v>
      </c>
      <c r="H20" s="106">
        <v>2.4750000000000001</v>
      </c>
    </row>
    <row r="21" spans="2:8" x14ac:dyDescent="0.25">
      <c r="B21" s="109" t="s">
        <v>160</v>
      </c>
      <c r="C21" s="107">
        <v>0.4</v>
      </c>
      <c r="D21" s="107">
        <v>1.7000000000000001E-2</v>
      </c>
      <c r="E21" s="111">
        <v>0</v>
      </c>
      <c r="F21" s="107">
        <v>0</v>
      </c>
      <c r="G21" s="111">
        <v>0.15</v>
      </c>
      <c r="H21" s="106">
        <v>6.2500000000000003E-3</v>
      </c>
    </row>
    <row r="22" spans="2:8" x14ac:dyDescent="0.25">
      <c r="B22" s="114" t="s">
        <v>169</v>
      </c>
      <c r="C22" s="112">
        <v>522.11899000000005</v>
      </c>
      <c r="D22" s="112">
        <v>21.752330000000001</v>
      </c>
      <c r="E22" s="115">
        <v>95.254000000000005</v>
      </c>
      <c r="F22" s="112">
        <v>3.968</v>
      </c>
      <c r="G22" s="115">
        <v>284.85250000000002</v>
      </c>
      <c r="H22" s="113">
        <v>11.87045</v>
      </c>
    </row>
    <row r="25" spans="2:8" x14ac:dyDescent="0.25">
      <c r="B25" s="255" t="s">
        <v>170</v>
      </c>
      <c r="C25" s="257" t="s">
        <v>171</v>
      </c>
      <c r="D25" s="258"/>
    </row>
    <row r="26" spans="2:8" x14ac:dyDescent="0.25">
      <c r="B26" s="256"/>
      <c r="C26" s="120" t="s">
        <v>172</v>
      </c>
      <c r="D26" s="119" t="s">
        <v>173</v>
      </c>
    </row>
    <row r="27" spans="2:8" x14ac:dyDescent="0.25">
      <c r="B27" s="118" t="s">
        <v>174</v>
      </c>
      <c r="C27" s="116">
        <v>65</v>
      </c>
      <c r="D27" s="117">
        <v>2.7080000000000002</v>
      </c>
    </row>
  </sheetData>
  <mergeCells count="7">
    <mergeCell ref="B25:B26"/>
    <mergeCell ref="C25:D25"/>
    <mergeCell ref="B2:H2"/>
    <mergeCell ref="B4:B5"/>
    <mergeCell ref="C4:D4"/>
    <mergeCell ref="E4:F4"/>
    <mergeCell ref="G4:H4"/>
  </mergeCells>
  <pageMargins left="0.05" right="0.05" top="0.5" bottom="0.5" header="0" footer="0"/>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Notes</vt:lpstr>
      <vt:lpstr>Glossary</vt:lpstr>
      <vt:lpstr>Activity</vt:lpstr>
      <vt:lpstr>Oil and Condensate</vt:lpstr>
      <vt:lpstr>Gas</vt:lpstr>
      <vt:lpstr>LPG</vt:lpstr>
      <vt:lpstr>Gas and LPG Combined</vt:lpstr>
      <vt:lpstr>Gas System Deliverability</vt:lpstr>
      <vt:lpstr>2C Resources</vt:lpstr>
      <vt:lpstr>Petroleum Initially in Place</vt:lpstr>
      <vt:lpstr>Oil Production Profile</vt:lpstr>
      <vt:lpstr>Gas Production Profile</vt:lpstr>
      <vt:lpstr>LPG Production Profile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Petroleum reserves 1 January 2026</dc:title>
  <cp:keywords>MAKO ID 187931755</cp:keywords>
  <dcterms:created xsi:type="dcterms:W3CDTF">2024-06-16T21:25:25Z</dcterms:created>
  <dcterms:modified xsi:type="dcterms:W3CDTF">2026-05-06T23:51:10Z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66f7-346c-47bb-a4d2-4a6558d61975_Enabled">
    <vt:lpwstr>true</vt:lpwstr>
  </property>
  <property fmtid="{D5CDD505-2E9C-101B-9397-08002B2CF9AE}" pid="3" name="MSIP_Label_738466f7-346c-47bb-a4d2-4a6558d61975_SetDate">
    <vt:lpwstr>2026-04-16T21:45:32Z</vt:lpwstr>
  </property>
  <property fmtid="{D5CDD505-2E9C-101B-9397-08002B2CF9AE}" pid="4" name="MSIP_Label_738466f7-346c-47bb-a4d2-4a6558d61975_Method">
    <vt:lpwstr>Privileged</vt:lpwstr>
  </property>
  <property fmtid="{D5CDD505-2E9C-101B-9397-08002B2CF9AE}" pid="5" name="MSIP_Label_738466f7-346c-47bb-a4d2-4a6558d61975_Name">
    <vt:lpwstr>UNCLASSIFIED</vt:lpwstr>
  </property>
  <property fmtid="{D5CDD505-2E9C-101B-9397-08002B2CF9AE}" pid="6" name="MSIP_Label_738466f7-346c-47bb-a4d2-4a6558d61975_SiteId">
    <vt:lpwstr>78b2bd11-e42b-47ea-b011-2e04c3af5ec1</vt:lpwstr>
  </property>
  <property fmtid="{D5CDD505-2E9C-101B-9397-08002B2CF9AE}" pid="7" name="MSIP_Label_738466f7-346c-47bb-a4d2-4a6558d61975_ActionId">
    <vt:lpwstr>17894620-85f6-4309-9114-ad8d20feb38b</vt:lpwstr>
  </property>
  <property fmtid="{D5CDD505-2E9C-101B-9397-08002B2CF9AE}" pid="8" name="MSIP_Label_738466f7-346c-47bb-a4d2-4a6558d61975_ContentBits">
    <vt:lpwstr>0</vt:lpwstr>
  </property>
  <property fmtid="{D5CDD505-2E9C-101B-9397-08002B2CF9AE}" pid="9" name="MSIP_Label_738466f7-346c-47bb-a4d2-4a6558d61975_Tag">
    <vt:lpwstr>10, 0, 1, 1</vt:lpwstr>
  </property>
</Properties>
</file>