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RuzickJ\AppData\Local\OpenText\OTEdit\EC_MAKO\c173665533\"/>
    </mc:Choice>
  </mc:AlternateContent>
  <xr:revisionPtr revIDLastSave="0" documentId="13_ncr:1_{53BC97D7-15F2-41EA-B22D-4B249B11C8F9}" xr6:coauthVersionLast="47" xr6:coauthVersionMax="47" xr10:uidLastSave="{00000000-0000-0000-0000-000000000000}"/>
  <bookViews>
    <workbookView xWindow="-120" yWindow="-120" windowWidth="29040" windowHeight="15720" xr2:uid="{00000000-000D-0000-FFFF-FFFF00000000}"/>
  </bookViews>
  <sheets>
    <sheet name="Contents" sheetId="10" r:id="rId1"/>
    <sheet name="Notes" sheetId="11" r:id="rId2"/>
    <sheet name="Glossary" sheetId="12" r:id="rId3"/>
    <sheet name="Activity" sheetId="13" r:id="rId4"/>
    <sheet name="Oil and Condensate" sheetId="1" r:id="rId5"/>
    <sheet name="Gas" sheetId="2" r:id="rId6"/>
    <sheet name="LPG" sheetId="3" r:id="rId7"/>
    <sheet name="Gas and LPG Combined" sheetId="4" r:id="rId8"/>
    <sheet name="Gas System Deliverability" sheetId="5" r:id="rId9"/>
    <sheet name="2C Resources" sheetId="6" r:id="rId10"/>
    <sheet name="Petroleum Initially in Place" sheetId="7" r:id="rId11"/>
    <sheet name="Oil Production Profile" sheetId="8" r:id="rId12"/>
    <sheet name="Gas LPG Production Profile" sheetId="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6" i="13" l="1"/>
  <c r="X46" i="13"/>
  <c r="W46" i="13"/>
  <c r="V46" i="13"/>
  <c r="U46" i="13"/>
  <c r="T46" i="13"/>
  <c r="S46" i="13"/>
  <c r="R46" i="13"/>
  <c r="Q46" i="13"/>
  <c r="P46" i="13"/>
  <c r="O46" i="13"/>
  <c r="N46" i="13"/>
  <c r="M46" i="13"/>
  <c r="L46" i="13"/>
  <c r="K46" i="13"/>
  <c r="J46" i="13"/>
  <c r="I46" i="13"/>
  <c r="H46" i="13"/>
  <c r="G46" i="13"/>
  <c r="F46" i="13"/>
  <c r="E46" i="13"/>
  <c r="D46" i="13"/>
  <c r="C46" i="13"/>
  <c r="Y42" i="13"/>
  <c r="X42" i="13"/>
  <c r="W42" i="13"/>
  <c r="V42" i="13"/>
  <c r="U42" i="13"/>
  <c r="T42" i="13"/>
  <c r="S42" i="13"/>
  <c r="R42" i="13"/>
  <c r="Q42" i="13"/>
  <c r="Y37" i="13"/>
  <c r="X37" i="13"/>
  <c r="W37" i="13"/>
  <c r="V37" i="13"/>
  <c r="U37" i="13"/>
  <c r="T37" i="13"/>
  <c r="S37" i="13"/>
  <c r="R37" i="13"/>
  <c r="Q37" i="13"/>
  <c r="P32" i="13"/>
  <c r="O32" i="13"/>
  <c r="N32" i="13"/>
  <c r="M32" i="13"/>
  <c r="L32" i="13"/>
  <c r="K32" i="13"/>
  <c r="J32" i="13"/>
  <c r="I32" i="13"/>
  <c r="H32" i="13"/>
  <c r="G32" i="13"/>
  <c r="F32" i="13"/>
  <c r="E32" i="13"/>
  <c r="D32" i="13"/>
  <c r="C32" i="13"/>
  <c r="Y31" i="13"/>
  <c r="Y32" i="13" s="1"/>
  <c r="X31" i="13"/>
  <c r="W31" i="13"/>
  <c r="V31" i="13"/>
  <c r="U31" i="13"/>
  <c r="T31" i="13"/>
  <c r="S31" i="13"/>
  <c r="R31" i="13"/>
  <c r="R32" i="13" s="1"/>
  <c r="Q31" i="13"/>
  <c r="Y30" i="13"/>
  <c r="X30" i="13"/>
  <c r="W30" i="13"/>
  <c r="V30" i="13"/>
  <c r="U30" i="13"/>
  <c r="T30" i="13"/>
  <c r="S30" i="13"/>
  <c r="R30" i="13"/>
  <c r="Q30" i="13"/>
  <c r="P28" i="13"/>
  <c r="O28" i="13"/>
  <c r="N28" i="13"/>
  <c r="Y27" i="13"/>
  <c r="X27" i="13"/>
  <c r="W27" i="13"/>
  <c r="V27" i="13"/>
  <c r="U27" i="13"/>
  <c r="T27" i="13"/>
  <c r="S27" i="13"/>
  <c r="R27" i="13"/>
  <c r="Q27" i="13"/>
  <c r="Y26" i="13"/>
  <c r="X26" i="13"/>
  <c r="W26" i="13"/>
  <c r="V26" i="13"/>
  <c r="U26" i="13"/>
  <c r="T26" i="13"/>
  <c r="S26" i="13"/>
  <c r="R26" i="13"/>
  <c r="R28" i="13" s="1"/>
  <c r="Q26" i="13"/>
  <c r="Q28" i="13" s="1"/>
  <c r="P19" i="13"/>
  <c r="O19" i="13"/>
  <c r="N19" i="13"/>
  <c r="Y18" i="13"/>
  <c r="X18" i="13"/>
  <c r="W18" i="13"/>
  <c r="V18" i="13"/>
  <c r="U18" i="13"/>
  <c r="T18" i="13"/>
  <c r="S18" i="13"/>
  <c r="R18" i="13"/>
  <c r="Q18" i="13"/>
  <c r="Y17" i="13"/>
  <c r="W17" i="13"/>
  <c r="V17" i="13"/>
  <c r="S17" i="13"/>
  <c r="R17" i="13"/>
  <c r="Q17" i="13"/>
  <c r="Y16" i="13"/>
  <c r="X16" i="13"/>
  <c r="W16" i="13"/>
  <c r="V16" i="13"/>
  <c r="U16" i="13"/>
  <c r="T16" i="13"/>
  <c r="S16" i="13"/>
  <c r="R16" i="13"/>
  <c r="Q16" i="13"/>
  <c r="Y14" i="13"/>
  <c r="X14" i="13"/>
  <c r="W14" i="13"/>
  <c r="V14" i="13"/>
  <c r="U14" i="13"/>
  <c r="T14" i="13"/>
  <c r="S14" i="13"/>
  <c r="R14" i="13"/>
  <c r="Q14" i="13"/>
  <c r="P14" i="13"/>
  <c r="O14" i="13"/>
  <c r="N14" i="13"/>
  <c r="Y9" i="13"/>
  <c r="X9" i="13"/>
  <c r="W9" i="13"/>
  <c r="V9" i="13"/>
  <c r="U9" i="13"/>
  <c r="T9" i="13"/>
  <c r="S9" i="13"/>
  <c r="R9" i="13"/>
  <c r="Q9" i="13"/>
  <c r="P9" i="13"/>
  <c r="O9" i="13"/>
  <c r="N9" i="13"/>
  <c r="T28" i="13" l="1"/>
  <c r="S28" i="13"/>
  <c r="U28" i="13"/>
  <c r="V28" i="13"/>
  <c r="X19" i="13"/>
  <c r="W28" i="13"/>
  <c r="Q32" i="13"/>
  <c r="S19" i="13"/>
  <c r="T19" i="13"/>
  <c r="X28" i="13"/>
  <c r="U19" i="13"/>
  <c r="Y28" i="13"/>
  <c r="V19" i="13"/>
  <c r="S32" i="13"/>
  <c r="W19" i="13"/>
  <c r="T32" i="13"/>
  <c r="U32" i="13"/>
  <c r="Y19" i="13"/>
  <c r="Q19" i="13"/>
  <c r="W32" i="13"/>
  <c r="R19" i="13"/>
  <c r="X32" i="13"/>
  <c r="V32" i="13"/>
  <c r="D23" i="5" l="1"/>
  <c r="E23" i="5"/>
  <c r="F23" i="5"/>
  <c r="G23" i="5"/>
  <c r="H23" i="5"/>
  <c r="C23" i="5"/>
</calcChain>
</file>

<file path=xl/sharedStrings.xml><?xml version="1.0" encoding="utf-8"?>
<sst xmlns="http://schemas.openxmlformats.org/spreadsheetml/2006/main" count="1849" uniqueCount="183">
  <si>
    <t>Oil and Condensate Reserves - as at 1 January 2025</t>
  </si>
  <si>
    <t>Ultimate Recoverable
(1P)</t>
  </si>
  <si>
    <t>Ultimate Recoverable
(2P)</t>
  </si>
  <si>
    <t>Ultimate Recoverable
(3P)</t>
  </si>
  <si>
    <t>Remaining Reserves
(1P)</t>
  </si>
  <si>
    <t>Remaining Reserves
(2P)</t>
  </si>
  <si>
    <t>Remaining Reserves
(3P)</t>
  </si>
  <si>
    <t>Field</t>
  </si>
  <si>
    <t>Type</t>
  </si>
  <si>
    <t>Mm3</t>
  </si>
  <si>
    <t>mmbbls</t>
  </si>
  <si>
    <t>PJ</t>
  </si>
  <si>
    <t>Surrey</t>
  </si>
  <si>
    <t>OIL</t>
  </si>
  <si>
    <t>Radnor</t>
  </si>
  <si>
    <t>CONDENSATE</t>
  </si>
  <si>
    <t>Sidewinder</t>
  </si>
  <si>
    <t>Copper Moki</t>
  </si>
  <si>
    <t>Rimu</t>
  </si>
  <si>
    <t>.</t>
  </si>
  <si>
    <t>Cheal East</t>
  </si>
  <si>
    <t>Kauri &amp; Manutahi</t>
  </si>
  <si>
    <t>OIL/CONDENSATE</t>
  </si>
  <si>
    <t>Kowhai</t>
  </si>
  <si>
    <t>Tariki</t>
  </si>
  <si>
    <t>Cheal and Cardiff</t>
  </si>
  <si>
    <t>Mangahewa</t>
  </si>
  <si>
    <t>Kupe</t>
  </si>
  <si>
    <t>Waihapa/Ngaere</t>
  </si>
  <si>
    <t>McKee</t>
  </si>
  <si>
    <t>Maari &amp; Manaia</t>
  </si>
  <si>
    <t>Pohokura</t>
  </si>
  <si>
    <t>Kapuni</t>
  </si>
  <si>
    <t>Maui</t>
  </si>
  <si>
    <t/>
  </si>
  <si>
    <t>Bcf</t>
  </si>
  <si>
    <t>Hanmer Springs</t>
  </si>
  <si>
    <t>Supplejack</t>
  </si>
  <si>
    <t>LPG Reserves - as at 1 January 2025</t>
  </si>
  <si>
    <t>kt</t>
  </si>
  <si>
    <t>Gas and LPG Combined Reserves - as at 1 January 2025</t>
  </si>
  <si>
    <t>Maximum Deliverability</t>
  </si>
  <si>
    <t>Minimum Deliverability</t>
  </si>
  <si>
    <t>Actual average for 2024</t>
  </si>
  <si>
    <t>TJ/day</t>
  </si>
  <si>
    <t>TJ/hour</t>
  </si>
  <si>
    <t>Ahuroa Gas Storage facility</t>
  </si>
  <si>
    <t>Total</t>
  </si>
  <si>
    <t>Contingent Resources - as at 1 January 2025</t>
  </si>
  <si>
    <t>Gas
(PJ)</t>
  </si>
  <si>
    <t/>
  </si>
  <si>
    <t>Puka</t>
  </si>
  <si>
    <t>Karewa</t>
  </si>
  <si>
    <t>Petroleum initially in place - as at 1 January 2025</t>
  </si>
  <si>
    <t>Liquids</t>
  </si>
  <si>
    <t>Gas</t>
  </si>
  <si>
    <t>P1</t>
  </si>
  <si>
    <t>P2</t>
  </si>
  <si>
    <t>P3</t>
  </si>
  <si>
    <t>MMm3</t>
  </si>
  <si>
    <t>MMbbl</t>
  </si>
  <si>
    <t>Bscf</t>
  </si>
  <si>
    <t>-</t>
  </si>
  <si>
    <t>Crude Oil and Condensate Production Profile (Forecast) – mmbbl</t>
  </si>
  <si>
    <t>Turangi and Turangi McKee Overthrust</t>
  </si>
  <si>
    <t>Greater Ngatoro</t>
  </si>
  <si>
    <t>Arithmetic Total</t>
  </si>
  <si>
    <t>Probabilistic Total</t>
  </si>
  <si>
    <t>Natural Gas - as at 1 January 2025</t>
  </si>
  <si>
    <t>Kauri</t>
  </si>
  <si>
    <t>Gas System Deliverability - 2024</t>
  </si>
  <si>
    <t>Facility</t>
  </si>
  <si>
    <t>Storage Facility</t>
  </si>
  <si>
    <t>Contingent Resources</t>
  </si>
  <si>
    <t>LPG
(1,000 tonnes)</t>
  </si>
  <si>
    <t>Oil
(million barrels)</t>
  </si>
  <si>
    <t>Condensate
(million barrels)</t>
  </si>
  <si>
    <t>Gas Production Profile (Forecast) – PJ</t>
  </si>
  <si>
    <t>LPG Production Profile (Forecast) – PJ</t>
  </si>
  <si>
    <t>New Zealand Petroleum Reserves tables</t>
  </si>
  <si>
    <t>energyinfo@mbie.govt.nz</t>
  </si>
  <si>
    <t>These tables can also be found alongside the Energy in New Zealand publication</t>
  </si>
  <si>
    <t>Energy in New Zealand</t>
  </si>
  <si>
    <t>Notes</t>
  </si>
  <si>
    <t>A description of the methodology used in creation of the main reserves tables</t>
  </si>
  <si>
    <t>Glossary</t>
  </si>
  <si>
    <t>Explanation of the terminology used to describe oil and gas reserves</t>
  </si>
  <si>
    <t>Activity</t>
  </si>
  <si>
    <t>Oil and Gas Exploration Activity</t>
  </si>
  <si>
    <t>Oil and Condensate</t>
  </si>
  <si>
    <r>
      <t>Units include million cubic metres (Mm</t>
    </r>
    <r>
      <rPr>
        <i/>
        <vertAlign val="superscript"/>
        <sz val="11"/>
        <color theme="1"/>
        <rFont val="Calibri"/>
        <family val="2"/>
      </rPr>
      <t>3</t>
    </r>
    <r>
      <rPr>
        <i/>
        <sz val="11"/>
        <color theme="1"/>
        <rFont val="Calibri"/>
        <family val="2"/>
      </rPr>
      <t>), million barrels (mmbbls), and petajoules (PJ)</t>
    </r>
  </si>
  <si>
    <r>
      <t>Units include million cubic metres (Mm</t>
    </r>
    <r>
      <rPr>
        <i/>
        <vertAlign val="superscript"/>
        <sz val="11"/>
        <color theme="1"/>
        <rFont val="Calibri"/>
        <family val="2"/>
      </rPr>
      <t>3</t>
    </r>
    <r>
      <rPr>
        <i/>
        <sz val="11"/>
        <color theme="1"/>
        <rFont val="Calibri"/>
        <family val="2"/>
      </rPr>
      <t>),billion cubic feet (Bcf), and petajoules (PJ)</t>
    </r>
  </si>
  <si>
    <t>LPG</t>
  </si>
  <si>
    <t>Units include kilotonnes (kt), and petajoules (PJ)</t>
  </si>
  <si>
    <t>Gas and LPG combined</t>
  </si>
  <si>
    <t>Units are constrained to petajoules (PJ)</t>
  </si>
  <si>
    <t>Gas system deliverability</t>
  </si>
  <si>
    <t>2C resources</t>
  </si>
  <si>
    <t>Petroleum Initially in Place</t>
  </si>
  <si>
    <t>Summary table of commodities initially in place</t>
  </si>
  <si>
    <t>Oil production profile</t>
  </si>
  <si>
    <t>Forecast oil production by field</t>
  </si>
  <si>
    <t>Gas/LPG production profile</t>
  </si>
  <si>
    <t>Forecast gas and LPG production by field</t>
  </si>
  <si>
    <t>Produced by 
Domains Team
Data, Insights and Intelligence branch
Ministry of Business, Innovation and Employment</t>
  </si>
  <si>
    <t>Summary table of oil and condensate reserves as at 1 Jan 2025. Includes 1P, 2P, and 3P Ultimately Recoverable Reserves, and Remaining Reserves by field</t>
  </si>
  <si>
    <t>Summary table of gas reserves as at 1 Jan 2025. Includes 1P, 2P, and 3P Ultimately Recoverable Reserves, and Remaining Reserves by field</t>
  </si>
  <si>
    <t>Summary table of LPG reserves as at 1 Jan 2025. Includes 1P, 2P, and 3P Ultimately Recoverable Reserves, and Remaining Reserves by field</t>
  </si>
  <si>
    <t>Summary table of combined Gas and LPG reserves as at 1 Jan 2025. Includes 1P, 2P, and 3P Ultimately Recoverable Reserves, and Remaining Reserves by field</t>
  </si>
  <si>
    <t>Minimum, maximum, and average gas deliverability for 2024, by field</t>
  </si>
  <si>
    <t>Contingent resources by field as at 1 Jan 2025</t>
  </si>
  <si>
    <t>Methodology notes</t>
  </si>
  <si>
    <t>Arithmetic and probabilistic totals</t>
  </si>
  <si>
    <t>National totals for P1, P2, and P3 reserves are calculated by both arithmetic and probabilistic means.
The arithmetic total for all fields is calculated by summing all values. As we are summing probabilistic values, the arithmetic total is not generally considered to be an accurate measure of the "most likely" value.
Probabilistic totals are summed using a Monte Carlo simulation (see below). While the 2P arithmetic and probabilistic totals will be very close, the totals will differ for 1P and 3P values. Probabilistic totals are generally considered a more accurate measure for "most likely" values.</t>
  </si>
  <si>
    <t>Monte Carlo methodology</t>
  </si>
  <si>
    <t>Probabilistic totals in this workbook were derived using a Monte Carlo simulation of the possible distribution of each field's reserves.</t>
  </si>
  <si>
    <t>The process used is as follows:</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</si>
  <si>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</si>
  <si>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2. The reported P2 and P1 figures are then used to calculate a standard deviation for each field. For this calculation, we assume the P2 to be the mean, and P1 to be the 0.1 quantile. The calculation used is:</t>
  </si>
  <si>
    <t>SD = (P1 - P2)/qnorm(0.1)</t>
  </si>
  <si>
    <t>3. We use a lognormal distribution to model potential volumes for each field. The lognormal requires calculation of the location and shape parameters. These are calculated as follows where s is the standard deviation, and m is the mean.</t>
  </si>
  <si>
    <r>
      <t>location = log(m</t>
    </r>
    <r>
      <rPr>
        <sz val="11"/>
        <color rgb="FF000000"/>
        <rFont val="Calibri"/>
        <family val="2"/>
      </rPr>
      <t>²</t>
    </r>
    <r>
      <rPr>
        <sz val="11"/>
        <color theme="1"/>
        <rFont val="Calibri"/>
        <family val="2"/>
      </rPr>
      <t xml:space="preserve"> / </t>
    </r>
    <r>
      <rPr>
        <sz val="11"/>
        <color rgb="FF000000"/>
        <rFont val="Calibri"/>
        <family val="2"/>
      </rPr>
      <t>√</t>
    </r>
    <r>
      <rPr>
        <sz val="11"/>
        <color theme="1"/>
        <rFont val="Calibri"/>
        <family val="2"/>
      </rPr>
      <t>(s² + m²))</t>
    </r>
  </si>
  <si>
    <t>shape = √(log(1 + (s² / m²)))</t>
  </si>
  <si>
    <t>4. When then filter the data by commodity (gas, oil, condensate, lpg) and perform calculations on each fuel type subset.</t>
  </si>
  <si>
    <t>5. We now calculate 100,000 samples for each field based on the lognormal distribution of possible values</t>
  </si>
  <si>
    <t>6. Each set of samples is summed, leaving us with 100,000 possible national totals</t>
  </si>
  <si>
    <t>7. This simulated set of national totals effectively forms a distribution of possible values. We take the 0.1, 0.5, and 0.9 quantiles of this range as the P1, P2, and P3 values respectively.</t>
  </si>
  <si>
    <t>Note on LPG methodology</t>
  </si>
  <si>
    <t>The calculation of LPG reserves does not include any process conversion losses associated with bringing the LPG to market.</t>
  </si>
  <si>
    <t>The volumes are a direct reflection of the volumes reported by each operator in the Annual Summary Reports.</t>
  </si>
  <si>
    <t>Conversion factors</t>
  </si>
  <si>
    <t>In general we have published data as provided to us. In the case of gas and LPG production profiles we have converted all values to Petajoules (PJ) for ease of comparison.</t>
  </si>
  <si>
    <t>Where required, we have converted natural gas production profiles from billion cubic feet to cubic metres, and then to petajoules using a weighted average of calorific values from each field. To convert from cubic feet to cubc metres, we use the conversion factor:</t>
  </si>
  <si>
    <r>
      <t>1 ft</t>
    </r>
    <r>
      <rPr>
        <sz val="11"/>
        <color rgb="FF000000"/>
        <rFont val="Calibri"/>
        <family val="2"/>
      </rPr>
      <t>³</t>
    </r>
    <r>
      <rPr>
        <sz val="11"/>
        <color theme="1"/>
        <rFont val="Calibri"/>
        <family val="2"/>
      </rPr>
      <t xml:space="preserve"> = 0.0283168 m³</t>
    </r>
  </si>
  <si>
    <t>Where required, we have converted LPG production profiles from kilotonnes to petajoules using the conversion factor:</t>
  </si>
  <si>
    <t>1 PJ = 20.25 kt</t>
  </si>
  <si>
    <t>Glossary of key terms</t>
  </si>
  <si>
    <t>1P, 2P, 3P reserves</t>
  </si>
  <si>
    <t>1P reserves are Proven reserves (both developed and undeveloped). These reserves have a 90% certainty of being produced.</t>
  </si>
  <si>
    <t>3P reserves are proven reserves + probable reserves + possible reserves, hence 3P. These reserves have a 10% certainty of being produced.</t>
  </si>
  <si>
    <t>Ultimately recoverable reserves</t>
  </si>
  <si>
    <t>The Ultimately Recoverable reserves is the sum of the estimated resources at a particular time and the cumulative production up to that time.</t>
  </si>
  <si>
    <t>Remaining reserves</t>
  </si>
  <si>
    <t>The Remaining Reserves are the estimated volume of resource in the ground that is still recoverable given the technological and economic factors at the time.</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</si>
  <si>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</si>
  <si>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t>Petroleum initially in place</t>
  </si>
  <si>
    <t>Exploration Wells</t>
  </si>
  <si>
    <t>Appraisal Wells</t>
  </si>
  <si>
    <t>Development Wells</t>
  </si>
  <si>
    <t>Total Wells Drilled</t>
  </si>
  <si>
    <t>Exploration Well Metres Made (mAH)</t>
  </si>
  <si>
    <t>Appraisal Wells Metres Made (mAH)</t>
  </si>
  <si>
    <t>Development Wells Metres Made (mAH)</t>
  </si>
  <si>
    <t>Total Metres Made</t>
  </si>
  <si>
    <t>Exploration Well Expenditure ($NZDm)</t>
  </si>
  <si>
    <t>Appraisal Well Expenditure ($NZDm)</t>
  </si>
  <si>
    <t>Development Well Expenditure ($NZDm)</t>
  </si>
  <si>
    <t>Total Well Expenditure ($NZDm)</t>
  </si>
  <si>
    <t>2-D Seismic Acquired (km)</t>
  </si>
  <si>
    <t>2-D Seismic Reprocessed (km)</t>
  </si>
  <si>
    <t>Acquisition Expenditure ($NZDm)</t>
  </si>
  <si>
    <t>Reprocessing Expenditure ($NZDm)</t>
  </si>
  <si>
    <t>Total Seismic Expenditure ($NZDm)</t>
  </si>
  <si>
    <t>PEP &amp; PPP National Expenditure ($NZDm)</t>
  </si>
  <si>
    <t>PMP/PML National Expenditure ($NZDm)</t>
  </si>
  <si>
    <t>Expenditure, All Permits – National Total ($NZDm)</t>
  </si>
  <si>
    <t>PPPs Granted</t>
  </si>
  <si>
    <t>PEPs Granted</t>
  </si>
  <si>
    <t>PMPs Granted</t>
  </si>
  <si>
    <t>Total Permits Granted</t>
  </si>
  <si>
    <t>Permits surrenderred</t>
  </si>
  <si>
    <t>Permits expired</t>
  </si>
  <si>
    <t>Permits revoked</t>
  </si>
  <si>
    <t>Total Permits Ended</t>
  </si>
  <si>
    <t>Number of PEPs &amp; PPPs at Granted Status</t>
  </si>
  <si>
    <t>Number of PMPs and PMLs at Granted Status</t>
  </si>
  <si>
    <t>Total No of Permits</t>
  </si>
  <si>
    <t>National totals</t>
  </si>
  <si>
    <t xml:space="preserve">Activity Statistics Combined for PPPs, PEPs, PMPs and PMLs </t>
  </si>
  <si>
    <r>
      <t>3-D Seismic Acquired (km</t>
    </r>
    <r>
      <rPr>
        <vertAlign val="superscript"/>
        <sz val="11"/>
        <color indexed="8"/>
        <rFont val="Calibri"/>
        <family val="2"/>
      </rPr>
      <t>2</t>
    </r>
    <r>
      <rPr>
        <sz val="11"/>
        <color indexed="8"/>
        <rFont val="Calibri"/>
        <family val="2"/>
      </rPr>
      <t>)</t>
    </r>
  </si>
  <si>
    <r>
      <t>3-D Seismic Reprocessed (km</t>
    </r>
    <r>
      <rPr>
        <vertAlign val="superscript"/>
        <sz val="11"/>
        <color indexed="8"/>
        <rFont val="Calibri"/>
        <family val="2"/>
      </rPr>
      <t>2</t>
    </r>
    <r>
      <rPr>
        <sz val="11"/>
        <color indexed="8"/>
        <rFont val="Calibri"/>
        <family val="2"/>
      </rPr>
      <t>)</t>
    </r>
  </si>
  <si>
    <t>2P reserves are Proven reserves + Probable reserves, hence 2P. These reserves have a 50% certainty of being produced.</t>
  </si>
  <si>
    <t>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</si>
</sst>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164" formatCode="#,###,###,##0.0"/>
    <numFmt numFmtId="165" formatCode="#,###,###,###,##0.00"/>
    <numFmt numFmtId="166" formatCode="###,###,###,##0"/>
    <numFmt numFmtId="167" formatCode="###,###,##0.00"/>
    <numFmt numFmtId="168" formatCode="#####0.0"/>
    <numFmt numFmtId="169" formatCode="##,##0.00"/>
    <numFmt numFmtId="170" formatCode="##,###,##0"/>
    <numFmt numFmtId="171" formatCode="#,##0.0"/>
    <numFmt numFmtId="172" formatCode="&quot;$&quot;#,##0.00"/>
    <numFmt numFmtId="173" formatCode="&quot;$&quot;#,##0.000;[Red]\-&quot;$&quot;#,##0.000"/>
    <numFmt numFmtId="174" formatCode="&quot;$&quot;#,##0"/>
  </numFmts>
  <fonts count="21" x14ac:knownFonts="1">
    <font>
      <sz val="11"/>
      <color rgb="FF000000"/>
      <name val="Calibri"/>
      <family val="2"/>
    </font>
    <font>
      <b/>
      <sz val="11"/>
      <color rgb="FF000000"/>
      <name val="calibri"/>
    </font>
    <font>
      <b/>
      <sz val="11"/>
      <color rgb="FF000000"/>
      <name val="Calibri"/>
    </font>
    <font>
      <sz val="11"/>
      <color rgb="FF000000"/>
      <name val="Calibri"/>
    </font>
    <font>
      <sz val="11"/>
      <color rgb="FF000000"/>
      <name val="calibri"/>
    </font>
    <font>
      <sz val="9.5"/>
      <color rgb="FF112277"/>
      <name val="Arial"/>
    </font>
    <font>
      <sz val="11"/>
      <color rgb="FF000000"/>
      <name val="Calibri"/>
      <family val="2"/>
    </font>
    <font>
      <b/>
      <sz val="11"/>
      <color rgb="FF000000"/>
      <name val="Calibri"/>
      <family val="2"/>
    </font>
    <font>
      <b/>
      <sz val="12"/>
      <color rgb="FF000000"/>
      <name val="Calibri"/>
      <family val="2"/>
    </font>
    <font>
      <sz val="11"/>
      <color theme="1"/>
      <name val="Calibri"/>
      <family val="2"/>
    </font>
    <font>
      <b/>
      <sz val="16"/>
      <name val="Calibri"/>
      <family val="2"/>
    </font>
    <font>
      <u/>
      <sz val="11"/>
      <color theme="10"/>
      <name val="Calibri"/>
      <family val="2"/>
    </font>
    <font>
      <i/>
      <sz val="11"/>
      <color theme="1"/>
      <name val="Calibri"/>
      <family val="2"/>
    </font>
    <font>
      <i/>
      <vertAlign val="superscript"/>
      <sz val="11"/>
      <color theme="1"/>
      <name val="Calibri"/>
      <family val="2"/>
    </font>
    <font>
      <b/>
      <sz val="11"/>
      <color theme="1"/>
      <name val="Calibri"/>
      <family val="2"/>
    </font>
    <font>
      <b/>
      <sz val="14"/>
      <name val="Calibri"/>
      <family val="2"/>
    </font>
    <font>
      <b/>
      <sz val="11"/>
      <name val="Calibri"/>
      <family val="2"/>
    </font>
    <font>
      <sz val="11"/>
      <color indexed="8"/>
      <name val="Calibri"/>
      <family val="2"/>
    </font>
    <font>
      <sz val="11"/>
      <name val="Calibri"/>
      <family val="2"/>
    </font>
    <font>
      <b/>
      <sz val="11"/>
      <color indexed="8"/>
      <name val="Calibri"/>
      <family val="2"/>
    </font>
    <font>
      <vertAlign val="superscript"/>
      <sz val="11"/>
      <color indexed="8"/>
      <name val="Calibri"/>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176">
    <border>
      <left/>
      <right/>
      <top/>
      <bottom/>
      <diagonal/>
    </border>
    <border>
      <left style="thin">
        <color rgb="FF000000"/>
      </left>
      <right style="thin">
        <color rgb="FF000000"/>
      </right>
      <top/>
      <bottom style="thin">
        <color rgb="FF000000"/>
      </bottom>
      <diagonal/>
    </border>
    <border>
      <left style="thin">
        <color rgb="FFC1C1C1"/>
      </left>
      <right/>
      <top style="thin">
        <color rgb="FFC1C1C1"/>
      </top>
      <bottom style="thin">
        <color rgb="FFC1C1C1"/>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top/>
      <bottom style="hair">
        <color rgb="FF000000"/>
      </bottom>
      <diagonal/>
    </border>
    <border>
      <left style="thin">
        <color rgb="FF000000"/>
      </left>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hair">
        <color rgb="FF000000"/>
      </left>
      <right style="medium">
        <color rgb="FF000000"/>
      </right>
      <top style="thin">
        <color rgb="FF000000"/>
      </top>
      <bottom style="hair">
        <color rgb="FF000000"/>
      </bottom>
      <diagonal/>
    </border>
    <border>
      <left style="medium">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top style="thin">
        <color rgb="FF000000"/>
      </top>
      <bottom style="hair">
        <color rgb="FF000000"/>
      </bottom>
      <diagonal/>
    </border>
    <border>
      <left/>
      <right/>
      <top style="thin">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style="thin">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medium">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medium">
        <color rgb="FF000000"/>
      </left>
      <right style="thin">
        <color rgb="FF000000"/>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thin">
        <color rgb="FF000000"/>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thin">
        <color rgb="FF000000"/>
      </right>
      <top style="hair">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hair">
        <color indexed="64"/>
      </bottom>
      <diagonal/>
    </border>
    <border>
      <left style="medium">
        <color indexed="64"/>
      </left>
      <right style="thin">
        <color rgb="FF000000"/>
      </right>
      <top style="hair">
        <color indexed="64"/>
      </top>
      <bottom style="hair">
        <color indexed="64"/>
      </bottom>
      <diagonal/>
    </border>
    <border>
      <left style="medium">
        <color indexed="64"/>
      </left>
      <right style="thin">
        <color rgb="FF000000"/>
      </right>
      <top style="hair">
        <color indexed="64"/>
      </top>
      <bottom style="thin">
        <color rgb="FF000000"/>
      </bottom>
      <diagonal/>
    </border>
    <border>
      <left style="thin">
        <color rgb="FF000000"/>
      </left>
      <right style="hair">
        <color rgb="FF000000"/>
      </right>
      <top style="hair">
        <color rgb="FF000000"/>
      </top>
      <bottom style="medium">
        <color indexed="64"/>
      </bottom>
      <diagonal/>
    </border>
    <border>
      <left style="hair">
        <color rgb="FF000000"/>
      </left>
      <right style="thin">
        <color rgb="FF000000"/>
      </right>
      <top style="hair">
        <color rgb="FF000000"/>
      </top>
      <bottom style="medium">
        <color indexed="64"/>
      </bottom>
      <diagonal/>
    </border>
    <border>
      <left style="medium">
        <color indexed="64"/>
      </left>
      <right style="thin">
        <color rgb="FF000000"/>
      </right>
      <top style="hair">
        <color indexed="64"/>
      </top>
      <bottom style="medium">
        <color indexed="64"/>
      </bottom>
      <diagonal/>
    </border>
    <border>
      <left/>
      <right style="medium">
        <color rgb="FF000000"/>
      </right>
      <top style="medium">
        <color indexed="64"/>
      </top>
      <bottom style="thin">
        <color rgb="FF000000"/>
      </bottom>
      <diagonal/>
    </border>
    <border>
      <left style="hair">
        <color rgb="FF000000"/>
      </left>
      <right style="medium">
        <color rgb="FF000000"/>
      </right>
      <top style="hair">
        <color rgb="FF000000"/>
      </top>
      <bottom style="medium">
        <color indexed="64"/>
      </bottom>
      <diagonal/>
    </border>
    <border>
      <left style="thin">
        <color rgb="FF000000"/>
      </left>
      <right style="hair">
        <color rgb="FF000000"/>
      </right>
      <top/>
      <bottom style="hair">
        <color rgb="FF000000"/>
      </bottom>
      <diagonal/>
    </border>
    <border>
      <left style="medium">
        <color rgb="FF000000"/>
      </left>
      <right/>
      <top style="hair">
        <color rgb="FF000000"/>
      </top>
      <bottom/>
      <diagonal/>
    </border>
    <border>
      <left style="thin">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hair">
        <color rgb="FF000000"/>
      </right>
      <top style="hair">
        <color rgb="FF000000"/>
      </top>
      <bottom/>
      <diagonal/>
    </border>
    <border>
      <left style="hair">
        <color rgb="FF000000"/>
      </left>
      <right style="thin">
        <color rgb="FF000000"/>
      </right>
      <top style="hair">
        <color rgb="FF000000"/>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thin">
        <color rgb="FFC1C1C1"/>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thin">
        <color rgb="FFC1C1C1"/>
      </top>
      <bottom style="thin">
        <color rgb="FFC1C1C1"/>
      </bottom>
      <diagonal/>
    </border>
    <border>
      <left style="hair">
        <color rgb="FF000000"/>
      </left>
      <right style="medium">
        <color rgb="FF000000"/>
      </right>
      <top style="hair">
        <color rgb="FF000000"/>
      </top>
      <bottom style="thin">
        <color rgb="FFC1C1C1"/>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style="hair">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thin">
        <color rgb="FFC1C1C1"/>
      </left>
      <right style="medium">
        <color rgb="FF000000"/>
      </right>
      <top style="thin">
        <color rgb="FFC1C1C1"/>
      </top>
      <bottom style="thin">
        <color rgb="FFC1C1C1"/>
      </bottom>
      <diagonal/>
    </border>
    <border>
      <left style="thin">
        <color rgb="FF000000"/>
      </left>
      <right style="hair">
        <color rgb="FF000000"/>
      </right>
      <top style="thin">
        <color rgb="FF000000"/>
      </top>
      <bottom style="medium">
        <color rgb="FF000000"/>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theme="1"/>
      </left>
      <right/>
      <top style="hair">
        <color theme="1"/>
      </top>
      <bottom style="medium">
        <color theme="1"/>
      </bottom>
      <diagonal/>
    </border>
    <border>
      <left style="medium">
        <color theme="1"/>
      </left>
      <right/>
      <top style="hair">
        <color theme="1"/>
      </top>
      <bottom style="hair">
        <color theme="1"/>
      </bottom>
      <diagonal/>
    </border>
    <border>
      <left style="hair">
        <color theme="1"/>
      </left>
      <right style="medium">
        <color theme="1"/>
      </right>
      <top style="thin">
        <color theme="1"/>
      </top>
      <bottom style="hair">
        <color theme="1"/>
      </bottom>
      <diagonal/>
    </border>
    <border>
      <left style="hair">
        <color theme="1"/>
      </left>
      <right style="medium">
        <color theme="1"/>
      </right>
      <top style="hair">
        <color theme="1"/>
      </top>
      <bottom style="hair">
        <color theme="1"/>
      </bottom>
      <diagonal/>
    </border>
    <border>
      <left style="hair">
        <color theme="1"/>
      </left>
      <right style="hair">
        <color theme="1"/>
      </right>
      <top style="hair">
        <color theme="1"/>
      </top>
      <bottom style="double">
        <color indexed="64"/>
      </bottom>
      <diagonal/>
    </border>
    <border>
      <left style="hair">
        <color theme="1"/>
      </left>
      <right style="medium">
        <color theme="1"/>
      </right>
      <top style="hair">
        <color theme="1"/>
      </top>
      <bottom style="double">
        <color indexed="64"/>
      </bottom>
      <diagonal/>
    </border>
    <border>
      <left style="hair">
        <color theme="1"/>
      </left>
      <right style="hair">
        <color theme="1"/>
      </right>
      <top style="double">
        <color indexed="64"/>
      </top>
      <bottom style="hair">
        <color indexed="64"/>
      </bottom>
      <diagonal/>
    </border>
    <border>
      <left style="hair">
        <color theme="1"/>
      </left>
      <right style="medium">
        <color theme="1"/>
      </right>
      <top style="double">
        <color indexed="64"/>
      </top>
      <bottom style="hair">
        <color indexed="64"/>
      </bottom>
      <diagonal/>
    </border>
    <border>
      <left style="hair">
        <color theme="1"/>
      </left>
      <right style="hair">
        <color theme="1"/>
      </right>
      <top style="hair">
        <color indexed="64"/>
      </top>
      <bottom style="hair">
        <color indexed="64"/>
      </bottom>
      <diagonal/>
    </border>
    <border>
      <left style="hair">
        <color theme="1"/>
      </left>
      <right style="medium">
        <color theme="1"/>
      </right>
      <top style="hair">
        <color indexed="64"/>
      </top>
      <bottom style="hair">
        <color indexed="64"/>
      </bottom>
      <diagonal/>
    </border>
    <border>
      <left style="hair">
        <color theme="1"/>
      </left>
      <right style="hair">
        <color theme="1"/>
      </right>
      <top style="hair">
        <color indexed="64"/>
      </top>
      <bottom style="double">
        <color indexed="64"/>
      </bottom>
      <diagonal/>
    </border>
    <border>
      <left style="hair">
        <color theme="1"/>
      </left>
      <right style="medium">
        <color theme="1"/>
      </right>
      <top style="hair">
        <color indexed="64"/>
      </top>
      <bottom style="double">
        <color indexed="64"/>
      </bottom>
      <diagonal/>
    </border>
    <border>
      <left/>
      <right style="hair">
        <color theme="1"/>
      </right>
      <top style="hair">
        <color theme="1"/>
      </top>
      <bottom style="double">
        <color indexed="64"/>
      </bottom>
      <diagonal/>
    </border>
    <border>
      <left/>
      <right style="hair">
        <color theme="1"/>
      </right>
      <top style="double">
        <color indexed="64"/>
      </top>
      <bottom style="hair">
        <color indexed="64"/>
      </bottom>
      <diagonal/>
    </border>
    <border>
      <left/>
      <right style="hair">
        <color theme="1"/>
      </right>
      <top style="hair">
        <color indexed="64"/>
      </top>
      <bottom style="hair">
        <color indexed="64"/>
      </bottom>
      <diagonal/>
    </border>
    <border>
      <left/>
      <right style="hair">
        <color theme="1"/>
      </right>
      <top style="hair">
        <color indexed="64"/>
      </top>
      <bottom style="double">
        <color indexed="64"/>
      </bottom>
      <diagonal/>
    </border>
    <border>
      <left/>
      <right style="hair">
        <color theme="1"/>
      </right>
      <top/>
      <bottom style="medium">
        <color theme="1"/>
      </bottom>
      <diagonal/>
    </border>
    <border>
      <left style="hair">
        <color theme="1"/>
      </left>
      <right style="hair">
        <color theme="1"/>
      </right>
      <top/>
      <bottom style="medium">
        <color theme="1"/>
      </bottom>
      <diagonal/>
    </border>
    <border>
      <left style="hair">
        <color theme="1"/>
      </left>
      <right style="medium">
        <color theme="1"/>
      </right>
      <top/>
      <bottom style="medium">
        <color theme="1"/>
      </bottom>
      <diagonal/>
    </border>
  </borders>
  <cellStyleXfs count="4">
    <xf numFmtId="0" fontId="0" fillId="0" borderId="0"/>
    <xf numFmtId="0" fontId="11" fillId="0" borderId="0" applyNumberFormat="0" applyFill="0" applyBorder="0" applyAlignment="0" applyProtection="0"/>
    <xf numFmtId="0" fontId="10" fillId="0" borderId="0" applyNumberFormat="0" applyFill="0" applyAlignment="0" applyProtection="0"/>
    <xf numFmtId="0" fontId="15" fillId="0" borderId="0" applyNumberFormat="0" applyFill="0" applyAlignment="0" applyProtection="0"/>
  </cellStyleXfs>
  <cellXfs count="354">
    <xf numFmtId="0" fontId="0" fillId="2" borderId="0" xfId="0" applyFont="1" applyFill="1" applyBorder="1" applyAlignment="1">
      <alignment horizontal="left"/>
    </xf>
    <xf numFmtId="0" fontId="4" fillId="2" borderId="0" xfId="0" applyFont="1" applyFill="1" applyBorder="1" applyAlignment="1">
      <alignment horizontal="left" wrapText="1"/>
    </xf>
    <xf numFmtId="169" fontId="3" fillId="4" borderId="2" xfId="0" applyNumberFormat="1" applyFont="1" applyFill="1" applyBorder="1" applyAlignment="1">
      <alignment horizontal="center"/>
    </xf>
    <xf numFmtId="170" fontId="3" fillId="4" borderId="2" xfId="0" applyNumberFormat="1" applyFont="1" applyFill="1" applyBorder="1" applyAlignment="1">
      <alignment horizontal="center"/>
    </xf>
    <xf numFmtId="0" fontId="0" fillId="2" borderId="0" xfId="0" applyFont="1" applyFill="1" applyBorder="1" applyAlignment="1">
      <alignment horizontal="left"/>
    </xf>
    <xf numFmtId="0" fontId="6" fillId="4" borderId="7" xfId="0" applyFont="1" applyFill="1" applyBorder="1" applyAlignment="1">
      <alignment horizontal="left"/>
    </xf>
    <xf numFmtId="0" fontId="6" fillId="4" borderId="8" xfId="0" applyFont="1" applyFill="1" applyBorder="1" applyAlignment="1">
      <alignment horizontal="left"/>
    </xf>
    <xf numFmtId="164" fontId="6" fillId="4" borderId="9" xfId="0" applyNumberFormat="1" applyFont="1" applyFill="1" applyBorder="1" applyAlignment="1">
      <alignment horizontal="center"/>
    </xf>
    <xf numFmtId="164" fontId="6" fillId="4" borderId="10" xfId="0" applyNumberFormat="1" applyFont="1" applyFill="1" applyBorder="1" applyAlignment="1">
      <alignment horizontal="center"/>
    </xf>
    <xf numFmtId="165" fontId="6" fillId="4" borderId="11" xfId="0" applyNumberFormat="1" applyFont="1" applyFill="1" applyBorder="1" applyAlignment="1">
      <alignment horizontal="center"/>
    </xf>
    <xf numFmtId="165" fontId="6" fillId="4" borderId="12" xfId="0" applyNumberFormat="1" applyFont="1" applyFill="1" applyBorder="1" applyAlignment="1">
      <alignment horizontal="center"/>
    </xf>
    <xf numFmtId="0" fontId="6" fillId="4" borderId="13" xfId="0" applyFont="1" applyFill="1" applyBorder="1" applyAlignment="1">
      <alignment horizontal="left"/>
    </xf>
    <xf numFmtId="0" fontId="6" fillId="4" borderId="14" xfId="0" applyFont="1" applyFill="1" applyBorder="1" applyAlignment="1">
      <alignment horizontal="left"/>
    </xf>
    <xf numFmtId="164" fontId="6" fillId="4" borderId="15" xfId="0" applyNumberFormat="1" applyFont="1" applyFill="1" applyBorder="1" applyAlignment="1">
      <alignment horizontal="center"/>
    </xf>
    <xf numFmtId="164" fontId="6" fillId="4" borderId="16" xfId="0" applyNumberFormat="1" applyFont="1" applyFill="1" applyBorder="1" applyAlignment="1">
      <alignment horizontal="center"/>
    </xf>
    <xf numFmtId="165" fontId="6" fillId="4" borderId="17" xfId="0" applyNumberFormat="1" applyFont="1" applyFill="1" applyBorder="1" applyAlignment="1">
      <alignment horizontal="center"/>
    </xf>
    <xf numFmtId="165" fontId="6" fillId="4" borderId="18" xfId="0" applyNumberFormat="1" applyFont="1" applyFill="1" applyBorder="1" applyAlignment="1">
      <alignment horizontal="center"/>
    </xf>
    <xf numFmtId="0" fontId="6" fillId="4" borderId="19" xfId="0" applyFont="1" applyFill="1" applyBorder="1" applyAlignment="1">
      <alignment horizontal="left"/>
    </xf>
    <xf numFmtId="0" fontId="6" fillId="4" borderId="20" xfId="0" applyFont="1" applyFill="1" applyBorder="1" applyAlignment="1">
      <alignment horizontal="left"/>
    </xf>
    <xf numFmtId="164" fontId="6" fillId="4" borderId="21" xfId="0" applyNumberFormat="1" applyFont="1" applyFill="1" applyBorder="1" applyAlignment="1">
      <alignment horizontal="center"/>
    </xf>
    <xf numFmtId="164" fontId="6" fillId="4" borderId="22" xfId="0" applyNumberFormat="1" applyFont="1" applyFill="1" applyBorder="1" applyAlignment="1">
      <alignment horizontal="center"/>
    </xf>
    <xf numFmtId="165" fontId="6" fillId="4" borderId="23" xfId="0" applyNumberFormat="1" applyFont="1" applyFill="1" applyBorder="1" applyAlignment="1">
      <alignment horizontal="center"/>
    </xf>
    <xf numFmtId="165" fontId="6" fillId="4" borderId="24" xfId="0" applyNumberFormat="1" applyFont="1" applyFill="1" applyBorder="1" applyAlignment="1">
      <alignment horizontal="center"/>
    </xf>
    <xf numFmtId="0" fontId="6" fillId="4" borderId="25" xfId="0" applyFont="1" applyFill="1" applyBorder="1" applyAlignment="1">
      <alignment horizontal="left"/>
    </xf>
    <xf numFmtId="0" fontId="8" fillId="4" borderId="27" xfId="0" applyFont="1" applyFill="1" applyBorder="1" applyAlignment="1">
      <alignment horizontal="left"/>
    </xf>
    <xf numFmtId="164" fontId="8" fillId="4" borderId="29" xfId="0" applyNumberFormat="1" applyFont="1" applyFill="1" applyBorder="1" applyAlignment="1">
      <alignment horizontal="center"/>
    </xf>
    <xf numFmtId="164" fontId="8" fillId="4" borderId="30" xfId="0" applyNumberFormat="1" applyFont="1" applyFill="1" applyBorder="1" applyAlignment="1">
      <alignment horizontal="center"/>
    </xf>
    <xf numFmtId="165" fontId="8" fillId="4" borderId="31" xfId="0" applyNumberFormat="1" applyFont="1" applyFill="1" applyBorder="1" applyAlignment="1">
      <alignment horizontal="center"/>
    </xf>
    <xf numFmtId="165" fontId="8" fillId="4" borderId="32" xfId="0" applyNumberFormat="1" applyFont="1" applyFill="1" applyBorder="1" applyAlignment="1">
      <alignment horizontal="center"/>
    </xf>
    <xf numFmtId="0" fontId="7" fillId="3" borderId="33" xfId="0" applyFont="1" applyFill="1" applyBorder="1" applyAlignment="1">
      <alignment horizontal="center"/>
    </xf>
    <xf numFmtId="0" fontId="7" fillId="3" borderId="34" xfId="0" applyFont="1" applyFill="1" applyBorder="1" applyAlignment="1">
      <alignment horizontal="center"/>
    </xf>
    <xf numFmtId="0" fontId="7" fillId="3" borderId="35" xfId="0" applyFont="1" applyFill="1" applyBorder="1" applyAlignment="1">
      <alignment horizontal="center"/>
    </xf>
    <xf numFmtId="0" fontId="7" fillId="3" borderId="36" xfId="0" applyFont="1" applyFill="1" applyBorder="1" applyAlignment="1">
      <alignment horizontal="center"/>
    </xf>
    <xf numFmtId="0" fontId="6" fillId="4" borderId="37" xfId="0" applyFont="1" applyFill="1" applyBorder="1" applyAlignment="1">
      <alignment horizontal="left"/>
    </xf>
    <xf numFmtId="164" fontId="6" fillId="4" borderId="38" xfId="0" applyNumberFormat="1" applyFont="1" applyFill="1" applyBorder="1" applyAlignment="1">
      <alignment horizontal="center"/>
    </xf>
    <xf numFmtId="165" fontId="6" fillId="4" borderId="39" xfId="0" applyNumberFormat="1" applyFont="1" applyFill="1" applyBorder="1" applyAlignment="1">
      <alignment horizontal="center"/>
    </xf>
    <xf numFmtId="0" fontId="6" fillId="4" borderId="40" xfId="0" applyFont="1" applyFill="1" applyBorder="1" applyAlignment="1">
      <alignment horizontal="left"/>
    </xf>
    <xf numFmtId="164" fontId="6" fillId="4" borderId="41" xfId="0" applyNumberFormat="1" applyFont="1" applyFill="1" applyBorder="1" applyAlignment="1">
      <alignment horizontal="center"/>
    </xf>
    <xf numFmtId="165" fontId="6" fillId="4" borderId="42" xfId="0" applyNumberFormat="1" applyFont="1" applyFill="1" applyBorder="1" applyAlignment="1">
      <alignment horizontal="center"/>
    </xf>
    <xf numFmtId="0" fontId="6" fillId="4" borderId="43" xfId="0" applyFont="1" applyFill="1" applyBorder="1" applyAlignment="1">
      <alignment horizontal="left"/>
    </xf>
    <xf numFmtId="164" fontId="6" fillId="4" borderId="44" xfId="0" applyNumberFormat="1" applyFont="1" applyFill="1" applyBorder="1" applyAlignment="1">
      <alignment horizontal="center"/>
    </xf>
    <xf numFmtId="165" fontId="6" fillId="4" borderId="45" xfId="0" applyNumberFormat="1" applyFont="1" applyFill="1" applyBorder="1" applyAlignment="1">
      <alignment horizontal="center"/>
    </xf>
    <xf numFmtId="0" fontId="6" fillId="4" borderId="46" xfId="0" applyFont="1" applyFill="1" applyBorder="1" applyAlignment="1">
      <alignment horizontal="left"/>
    </xf>
    <xf numFmtId="164" fontId="6" fillId="4" borderId="47" xfId="0" applyNumberFormat="1" applyFont="1" applyFill="1" applyBorder="1" applyAlignment="1">
      <alignment horizontal="center"/>
    </xf>
    <xf numFmtId="164" fontId="6" fillId="4" borderId="48" xfId="0" applyNumberFormat="1" applyFont="1" applyFill="1" applyBorder="1" applyAlignment="1">
      <alignment horizontal="center"/>
    </xf>
    <xf numFmtId="165" fontId="6" fillId="4" borderId="49" xfId="0" applyNumberFormat="1" applyFont="1" applyFill="1" applyBorder="1" applyAlignment="1">
      <alignment horizontal="center"/>
    </xf>
    <xf numFmtId="165" fontId="6" fillId="4" borderId="50" xfId="0" applyNumberFormat="1" applyFont="1" applyFill="1" applyBorder="1" applyAlignment="1">
      <alignment horizontal="center"/>
    </xf>
    <xf numFmtId="0" fontId="8" fillId="4" borderId="51" xfId="0" applyFont="1" applyFill="1" applyBorder="1" applyAlignment="1">
      <alignment horizontal="left"/>
    </xf>
    <xf numFmtId="164" fontId="8" fillId="4" borderId="52" xfId="0" applyNumberFormat="1" applyFont="1" applyFill="1" applyBorder="1" applyAlignment="1">
      <alignment horizontal="center"/>
    </xf>
    <xf numFmtId="165" fontId="8" fillId="4" borderId="53" xfId="0" applyNumberFormat="1" applyFont="1" applyFill="1" applyBorder="1" applyAlignment="1">
      <alignment horizontal="center"/>
    </xf>
    <xf numFmtId="0" fontId="2" fillId="3" borderId="54" xfId="0" applyFont="1" applyFill="1" applyBorder="1" applyAlignment="1">
      <alignment horizontal="center"/>
    </xf>
    <xf numFmtId="0" fontId="2" fillId="3" borderId="57" xfId="0" applyFont="1" applyFill="1" applyBorder="1" applyAlignment="1">
      <alignment horizontal="center"/>
    </xf>
    <xf numFmtId="167" fontId="3" fillId="4" borderId="9" xfId="0" applyNumberFormat="1" applyFont="1" applyFill="1" applyBorder="1" applyAlignment="1">
      <alignment horizontal="center"/>
    </xf>
    <xf numFmtId="165" fontId="3" fillId="4" borderId="39" xfId="0" applyNumberFormat="1" applyFont="1" applyFill="1" applyBorder="1" applyAlignment="1">
      <alignment horizontal="center"/>
    </xf>
    <xf numFmtId="167" fontId="3" fillId="4" borderId="15" xfId="0" applyNumberFormat="1" applyFont="1" applyFill="1" applyBorder="1" applyAlignment="1">
      <alignment horizontal="center"/>
    </xf>
    <xf numFmtId="165" fontId="3" fillId="4" borderId="42" xfId="0" applyNumberFormat="1" applyFont="1" applyFill="1" applyBorder="1" applyAlignment="1">
      <alignment horizontal="center"/>
    </xf>
    <xf numFmtId="167" fontId="3" fillId="4" borderId="21" xfId="0" applyNumberFormat="1" applyFont="1" applyFill="1" applyBorder="1" applyAlignment="1">
      <alignment horizontal="center"/>
    </xf>
    <xf numFmtId="165" fontId="3" fillId="4" borderId="45" xfId="0" applyNumberFormat="1" applyFont="1" applyFill="1" applyBorder="1" applyAlignment="1">
      <alignment horizontal="center"/>
    </xf>
    <xf numFmtId="0" fontId="3" fillId="4" borderId="58" xfId="0" applyFont="1" applyFill="1" applyBorder="1" applyAlignment="1">
      <alignment horizontal="left"/>
    </xf>
    <xf numFmtId="0" fontId="6" fillId="4" borderId="59" xfId="0" applyFont="1" applyFill="1" applyBorder="1" applyAlignment="1">
      <alignment horizontal="left"/>
    </xf>
    <xf numFmtId="0" fontId="3" fillId="4" borderId="59" xfId="0" applyFont="1" applyFill="1" applyBorder="1" applyAlignment="1">
      <alignment horizontal="left"/>
    </xf>
    <xf numFmtId="0" fontId="3" fillId="4" borderId="60" xfId="0" applyFont="1" applyFill="1" applyBorder="1" applyAlignment="1">
      <alignment horizontal="left"/>
    </xf>
    <xf numFmtId="0" fontId="2" fillId="3" borderId="33" xfId="0" applyFont="1" applyFill="1" applyBorder="1" applyAlignment="1">
      <alignment horizontal="center"/>
    </xf>
    <xf numFmtId="0" fontId="2" fillId="3" borderId="35" xfId="0" applyFont="1" applyFill="1" applyBorder="1" applyAlignment="1">
      <alignment horizontal="center"/>
    </xf>
    <xf numFmtId="0" fontId="2" fillId="3" borderId="36" xfId="0" applyFont="1" applyFill="1" applyBorder="1" applyAlignment="1">
      <alignment horizontal="center"/>
    </xf>
    <xf numFmtId="165" fontId="3" fillId="4" borderId="12" xfId="0" applyNumberFormat="1" applyFont="1" applyFill="1" applyBorder="1" applyAlignment="1">
      <alignment horizontal="center"/>
    </xf>
    <xf numFmtId="165" fontId="3" fillId="4" borderId="18" xfId="0" applyNumberFormat="1" applyFont="1" applyFill="1" applyBorder="1" applyAlignment="1">
      <alignment horizontal="center"/>
    </xf>
    <xf numFmtId="165" fontId="3" fillId="4" borderId="24" xfId="0" applyNumberFormat="1" applyFont="1" applyFill="1" applyBorder="1" applyAlignment="1">
      <alignment horizontal="center"/>
    </xf>
    <xf numFmtId="167" fontId="7" fillId="4" borderId="61" xfId="0" applyNumberFormat="1" applyFont="1" applyFill="1" applyBorder="1" applyAlignment="1">
      <alignment horizontal="center"/>
    </xf>
    <xf numFmtId="165" fontId="7" fillId="4" borderId="62" xfId="0" applyNumberFormat="1" applyFont="1" applyFill="1" applyBorder="1" applyAlignment="1">
      <alignment horizontal="center"/>
    </xf>
    <xf numFmtId="165" fontId="7" fillId="4" borderId="65" xfId="0" applyNumberFormat="1" applyFont="1" applyFill="1" applyBorder="1" applyAlignment="1">
      <alignment horizontal="center"/>
    </xf>
    <xf numFmtId="0" fontId="7" fillId="4" borderId="63" xfId="0" applyFont="1" applyFill="1" applyBorder="1" applyAlignment="1">
      <alignment horizontal="left"/>
    </xf>
    <xf numFmtId="167" fontId="6" fillId="4" borderId="9" xfId="0" applyNumberFormat="1" applyFont="1" applyFill="1" applyBorder="1" applyAlignment="1">
      <alignment horizontal="center"/>
    </xf>
    <xf numFmtId="165" fontId="6" fillId="4" borderId="39" xfId="0" applyNumberFormat="1" applyFont="1" applyFill="1" applyBorder="1" applyAlignment="1">
      <alignment horizontal="center"/>
    </xf>
    <xf numFmtId="165" fontId="6" fillId="4" borderId="12" xfId="0" applyNumberFormat="1" applyFont="1" applyFill="1" applyBorder="1" applyAlignment="1">
      <alignment horizontal="center"/>
    </xf>
    <xf numFmtId="0" fontId="6" fillId="4" borderId="58" xfId="0" applyFont="1" applyFill="1" applyBorder="1" applyAlignment="1">
      <alignment horizontal="left"/>
    </xf>
    <xf numFmtId="165" fontId="6" fillId="4" borderId="66" xfId="0" applyNumberFormat="1" applyFont="1" applyFill="1" applyBorder="1" applyAlignment="1">
      <alignment horizontal="center"/>
    </xf>
    <xf numFmtId="165" fontId="6" fillId="4" borderId="48" xfId="0" applyNumberFormat="1" applyFont="1" applyFill="1" applyBorder="1" applyAlignment="1">
      <alignment horizontal="center"/>
    </xf>
    <xf numFmtId="165" fontId="6" fillId="4" borderId="15" xfId="0" applyNumberFormat="1" applyFont="1" applyFill="1" applyBorder="1" applyAlignment="1">
      <alignment horizontal="center"/>
    </xf>
    <xf numFmtId="165" fontId="6" fillId="4" borderId="16" xfId="0" applyNumberFormat="1" applyFont="1" applyFill="1" applyBorder="1" applyAlignment="1">
      <alignment horizontal="center"/>
    </xf>
    <xf numFmtId="0" fontId="6" fillId="4" borderId="67" xfId="0" applyFont="1" applyFill="1" applyBorder="1" applyAlignment="1">
      <alignment horizontal="left"/>
    </xf>
    <xf numFmtId="165" fontId="6" fillId="4" borderId="68" xfId="0" applyNumberFormat="1" applyFont="1" applyFill="1" applyBorder="1" applyAlignment="1">
      <alignment horizontal="center"/>
    </xf>
    <xf numFmtId="165" fontId="6" fillId="4" borderId="69" xfId="0" applyNumberFormat="1" applyFont="1" applyFill="1" applyBorder="1" applyAlignment="1">
      <alignment horizontal="center"/>
    </xf>
    <xf numFmtId="165" fontId="6" fillId="4" borderId="70" xfId="0" applyNumberFormat="1" applyFont="1" applyFill="1" applyBorder="1" applyAlignment="1">
      <alignment horizontal="center"/>
    </xf>
    <xf numFmtId="165" fontId="6" fillId="4" borderId="9" xfId="0" applyNumberFormat="1" applyFont="1" applyFill="1" applyBorder="1" applyAlignment="1">
      <alignment horizontal="center"/>
    </xf>
    <xf numFmtId="165" fontId="6" fillId="4" borderId="10" xfId="0" applyNumberFormat="1" applyFont="1" applyFill="1" applyBorder="1" applyAlignment="1">
      <alignment horizontal="center"/>
    </xf>
    <xf numFmtId="165" fontId="8" fillId="4" borderId="29" xfId="0" applyNumberFormat="1" applyFont="1" applyFill="1" applyBorder="1" applyAlignment="1">
      <alignment horizontal="center"/>
    </xf>
    <xf numFmtId="165" fontId="8" fillId="4" borderId="30" xfId="0" applyNumberFormat="1" applyFont="1" applyFill="1" applyBorder="1" applyAlignment="1">
      <alignment horizontal="center"/>
    </xf>
    <xf numFmtId="0" fontId="7" fillId="3" borderId="71"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165" fontId="6" fillId="4" borderId="47" xfId="0" applyNumberFormat="1" applyFont="1" applyFill="1" applyBorder="1" applyAlignment="1">
      <alignment horizontal="center"/>
    </xf>
    <xf numFmtId="165" fontId="6" fillId="4" borderId="41" xfId="0" applyNumberFormat="1" applyFont="1" applyFill="1" applyBorder="1" applyAlignment="1">
      <alignment horizontal="center"/>
    </xf>
    <xf numFmtId="165" fontId="6" fillId="4" borderId="74" xfId="0" applyNumberFormat="1" applyFont="1" applyFill="1" applyBorder="1" applyAlignment="1">
      <alignment horizontal="center"/>
    </xf>
    <xf numFmtId="165" fontId="6" fillId="4" borderId="38" xfId="0" applyNumberFormat="1" applyFont="1" applyFill="1" applyBorder="1" applyAlignment="1">
      <alignment horizontal="center"/>
    </xf>
    <xf numFmtId="165" fontId="8" fillId="4" borderId="52" xfId="0" applyNumberFormat="1" applyFont="1" applyFill="1" applyBorder="1" applyAlignment="1">
      <alignment horizontal="center"/>
    </xf>
    <xf numFmtId="165" fontId="6" fillId="4" borderId="75" xfId="0" applyNumberFormat="1" applyFont="1" applyFill="1" applyBorder="1" applyAlignment="1">
      <alignment horizontal="center"/>
    </xf>
    <xf numFmtId="0" fontId="2" fillId="3" borderId="34" xfId="0" applyFont="1" applyFill="1" applyBorder="1" applyAlignment="1">
      <alignment horizontal="center"/>
    </xf>
    <xf numFmtId="0" fontId="7" fillId="3" borderId="82" xfId="0" applyFont="1" applyFill="1" applyBorder="1" applyAlignment="1">
      <alignment horizontal="center"/>
    </xf>
    <xf numFmtId="0" fontId="7" fillId="3" borderId="83" xfId="0" applyFont="1" applyFill="1" applyBorder="1" applyAlignment="1">
      <alignment horizontal="center"/>
    </xf>
    <xf numFmtId="0" fontId="7" fillId="3" borderId="84" xfId="0" applyFont="1" applyFill="1" applyBorder="1" applyAlignment="1">
      <alignment horizontal="center"/>
    </xf>
    <xf numFmtId="0" fontId="7" fillId="3" borderId="85" xfId="0" applyFont="1" applyFill="1" applyBorder="1" applyAlignment="1">
      <alignment horizontal="center"/>
    </xf>
    <xf numFmtId="168" fontId="6" fillId="0" borderId="0" xfId="0" applyNumberFormat="1" applyFont="1" applyAlignment="1">
      <alignment horizontal="center"/>
    </xf>
    <xf numFmtId="168" fontId="6" fillId="0" borderId="87" xfId="0" applyNumberFormat="1" applyFont="1" applyBorder="1" applyAlignment="1">
      <alignment horizontal="center"/>
    </xf>
    <xf numFmtId="168" fontId="6" fillId="0" borderId="88" xfId="0" applyNumberFormat="1" applyFont="1" applyBorder="1" applyAlignment="1">
      <alignment horizontal="center"/>
    </xf>
    <xf numFmtId="168" fontId="6" fillId="0" borderId="89" xfId="0" applyNumberFormat="1" applyFont="1" applyBorder="1" applyAlignment="1">
      <alignment horizontal="center"/>
    </xf>
    <xf numFmtId="0" fontId="6" fillId="0" borderId="90" xfId="0" applyFont="1" applyBorder="1" applyAlignment="1">
      <alignment horizontal="left"/>
    </xf>
    <xf numFmtId="0" fontId="7" fillId="0" borderId="91" xfId="0" applyFont="1" applyBorder="1" applyAlignment="1">
      <alignment horizontal="left"/>
    </xf>
    <xf numFmtId="168" fontId="7" fillId="0" borderId="92" xfId="0" applyNumberFormat="1" applyFont="1" applyBorder="1" applyAlignment="1">
      <alignment horizontal="center"/>
    </xf>
    <xf numFmtId="0" fontId="6" fillId="0" borderId="93" xfId="0" applyFont="1" applyBorder="1" applyAlignment="1">
      <alignment horizontal="left"/>
    </xf>
    <xf numFmtId="168" fontId="6" fillId="0" borderId="94" xfId="0" applyNumberFormat="1" applyFont="1" applyBorder="1" applyAlignment="1">
      <alignment horizontal="center"/>
    </xf>
    <xf numFmtId="168" fontId="6" fillId="0" borderId="95" xfId="0" applyNumberFormat="1" applyFont="1" applyBorder="1" applyAlignment="1">
      <alignment horizontal="center"/>
    </xf>
    <xf numFmtId="0" fontId="6" fillId="0" borderId="86" xfId="0" applyFont="1" applyFill="1" applyBorder="1" applyAlignment="1">
      <alignment horizontal="left"/>
    </xf>
    <xf numFmtId="0" fontId="6" fillId="0" borderId="90" xfId="0" applyFont="1" applyFill="1" applyBorder="1" applyAlignment="1">
      <alignment horizontal="left"/>
    </xf>
    <xf numFmtId="0" fontId="6" fillId="0" borderId="98" xfId="0" applyFont="1" applyBorder="1" applyAlignment="1">
      <alignment horizontal="left"/>
    </xf>
    <xf numFmtId="167" fontId="6" fillId="0" borderId="87" xfId="0" applyNumberFormat="1" applyFont="1" applyBorder="1" applyAlignment="1">
      <alignment horizontal="center" vertical="center"/>
    </xf>
    <xf numFmtId="166" fontId="6" fillId="0" borderId="0" xfId="0" applyNumberFormat="1" applyFont="1" applyAlignment="1">
      <alignment horizontal="center" vertical="center"/>
    </xf>
    <xf numFmtId="167" fontId="6" fillId="0" borderId="89" xfId="0" applyNumberFormat="1" applyFont="1" applyBorder="1" applyAlignment="1">
      <alignment horizontal="center" vertical="center"/>
    </xf>
    <xf numFmtId="167" fontId="6" fillId="0" borderId="0" xfId="0" applyNumberFormat="1" applyFont="1" applyAlignment="1">
      <alignment horizontal="center" vertical="center"/>
    </xf>
    <xf numFmtId="0" fontId="7" fillId="0" borderId="93" xfId="0" applyFont="1" applyBorder="1" applyAlignment="1">
      <alignment horizontal="left"/>
    </xf>
    <xf numFmtId="167" fontId="7" fillId="0" borderId="94" xfId="0" applyNumberFormat="1" applyFont="1" applyBorder="1" applyAlignment="1">
      <alignment horizontal="center" vertical="center"/>
    </xf>
    <xf numFmtId="167" fontId="7" fillId="0" borderId="99" xfId="0" applyNumberFormat="1" applyFont="1" applyBorder="1" applyAlignment="1">
      <alignment horizontal="center" vertical="center"/>
    </xf>
    <xf numFmtId="167" fontId="7" fillId="0" borderId="100" xfId="0" applyNumberFormat="1" applyFont="1" applyBorder="1" applyAlignment="1">
      <alignment horizontal="center" vertical="center"/>
    </xf>
    <xf numFmtId="0" fontId="7" fillId="3" borderId="104" xfId="0" applyFont="1" applyFill="1" applyBorder="1" applyAlignment="1">
      <alignment horizontal="center" wrapText="1"/>
    </xf>
    <xf numFmtId="0" fontId="7" fillId="3" borderId="105" xfId="0" applyFont="1" applyFill="1" applyBorder="1" applyAlignment="1">
      <alignment horizontal="center" wrapText="1"/>
    </xf>
    <xf numFmtId="0" fontId="7" fillId="3" borderId="106" xfId="0" applyFont="1" applyFill="1" applyBorder="1" applyAlignment="1">
      <alignment horizontal="center" wrapText="1"/>
    </xf>
    <xf numFmtId="0" fontId="6" fillId="0" borderId="97" xfId="0" applyFont="1" applyBorder="1" applyAlignment="1">
      <alignment horizontal="left"/>
    </xf>
    <xf numFmtId="167" fontId="6" fillId="0" borderId="83" xfId="0" applyNumberFormat="1" applyFont="1" applyBorder="1" applyAlignment="1">
      <alignment horizontal="center" vertical="center"/>
    </xf>
    <xf numFmtId="167" fontId="6" fillId="0" borderId="82" xfId="0" applyNumberFormat="1" applyFont="1" applyBorder="1" applyAlignment="1">
      <alignment horizontal="center" vertical="center"/>
    </xf>
    <xf numFmtId="166" fontId="6" fillId="0" borderId="82" xfId="0" applyNumberFormat="1" applyFont="1" applyBorder="1" applyAlignment="1">
      <alignment horizontal="center" vertical="center"/>
    </xf>
    <xf numFmtId="167" fontId="6" fillId="0" borderId="85" xfId="0" applyNumberFormat="1" applyFont="1" applyBorder="1" applyAlignment="1">
      <alignment horizontal="center" vertical="center"/>
    </xf>
    <xf numFmtId="0" fontId="6" fillId="0" borderId="107" xfId="0" applyFont="1" applyBorder="1" applyAlignment="1">
      <alignment horizontal="left"/>
    </xf>
    <xf numFmtId="166" fontId="6" fillId="0" borderId="108" xfId="0" applyNumberFormat="1" applyFont="1" applyBorder="1" applyAlignment="1">
      <alignment horizontal="center" vertical="center"/>
    </xf>
    <xf numFmtId="166" fontId="6" fillId="0" borderId="109" xfId="0" applyNumberFormat="1" applyFont="1" applyBorder="1" applyAlignment="1">
      <alignment horizontal="center" vertical="center"/>
    </xf>
    <xf numFmtId="166" fontId="6" fillId="0" borderId="110" xfId="0" applyNumberFormat="1" applyFont="1" applyBorder="1" applyAlignment="1">
      <alignment horizontal="center" vertical="center"/>
    </xf>
    <xf numFmtId="166" fontId="6" fillId="0" borderId="111" xfId="0" applyNumberFormat="1" applyFont="1" applyBorder="1" applyAlignment="1">
      <alignment horizontal="center" vertical="center"/>
    </xf>
    <xf numFmtId="0" fontId="6" fillId="0" borderId="112" xfId="0" applyFont="1" applyBorder="1" applyAlignment="1">
      <alignment horizontal="left"/>
    </xf>
    <xf numFmtId="166" fontId="6" fillId="0" borderId="113" xfId="0" applyNumberFormat="1" applyFont="1" applyBorder="1" applyAlignment="1">
      <alignment horizontal="center" vertical="center"/>
    </xf>
    <xf numFmtId="166" fontId="6" fillId="0" borderId="114" xfId="0" applyNumberFormat="1" applyFont="1" applyBorder="1" applyAlignment="1">
      <alignment horizontal="center" vertical="center"/>
    </xf>
    <xf numFmtId="166" fontId="6" fillId="0" borderId="115" xfId="0" applyNumberFormat="1" applyFont="1" applyBorder="1" applyAlignment="1">
      <alignment horizontal="center" vertical="center"/>
    </xf>
    <xf numFmtId="166" fontId="6" fillId="0" borderId="116" xfId="0" applyNumberFormat="1" applyFont="1" applyBorder="1" applyAlignment="1">
      <alignment horizontal="center" vertical="center"/>
    </xf>
    <xf numFmtId="0" fontId="6" fillId="0" borderId="117" xfId="0" applyFont="1" applyBorder="1" applyAlignment="1">
      <alignment horizontal="left"/>
    </xf>
    <xf numFmtId="166" fontId="6" fillId="0" borderId="118" xfId="0" applyNumberFormat="1" applyFont="1" applyBorder="1" applyAlignment="1">
      <alignment horizontal="center" vertical="center"/>
    </xf>
    <xf numFmtId="166" fontId="6" fillId="0" borderId="119" xfId="0" applyNumberFormat="1" applyFont="1" applyBorder="1" applyAlignment="1">
      <alignment horizontal="center" vertical="center"/>
    </xf>
    <xf numFmtId="166" fontId="6" fillId="0" borderId="120" xfId="0" applyNumberFormat="1" applyFont="1" applyBorder="1" applyAlignment="1">
      <alignment horizontal="center" vertical="center"/>
    </xf>
    <xf numFmtId="166" fontId="6" fillId="0" borderId="121" xfId="0" applyNumberFormat="1" applyFont="1" applyBorder="1" applyAlignment="1">
      <alignment horizontal="center" vertical="center"/>
    </xf>
    <xf numFmtId="0" fontId="7" fillId="0" borderId="122" xfId="0" applyFont="1" applyBorder="1" applyAlignment="1">
      <alignment horizontal="left"/>
    </xf>
    <xf numFmtId="166" fontId="7" fillId="0" borderId="123" xfId="0" applyNumberFormat="1" applyFont="1" applyBorder="1" applyAlignment="1">
      <alignment horizontal="center" vertical="center"/>
    </xf>
    <xf numFmtId="166" fontId="7" fillId="0" borderId="124" xfId="0" applyNumberFormat="1" applyFont="1" applyBorder="1" applyAlignment="1">
      <alignment horizontal="center" vertical="center"/>
    </xf>
    <xf numFmtId="166" fontId="7" fillId="0" borderId="125" xfId="0" applyNumberFormat="1" applyFont="1" applyBorder="1" applyAlignment="1">
      <alignment horizontal="center" vertical="center"/>
    </xf>
    <xf numFmtId="166" fontId="7" fillId="0" borderId="95" xfId="0" applyNumberFormat="1" applyFont="1" applyBorder="1" applyAlignment="1">
      <alignment horizontal="center" vertical="center"/>
    </xf>
    <xf numFmtId="0" fontId="7" fillId="3" borderId="104" xfId="0" applyFont="1" applyFill="1" applyBorder="1" applyAlignment="1">
      <alignment horizontal="center"/>
    </xf>
    <xf numFmtId="0" fontId="7" fillId="3" borderId="105" xfId="0" applyFont="1" applyFill="1" applyBorder="1" applyAlignment="1">
      <alignment horizontal="center"/>
    </xf>
    <xf numFmtId="0" fontId="7" fillId="3" borderId="130" xfId="0" applyFont="1" applyFill="1" applyBorder="1" applyAlignment="1">
      <alignment horizontal="center"/>
    </xf>
    <xf numFmtId="0" fontId="7" fillId="3" borderId="131" xfId="0" applyFont="1" applyFill="1" applyBorder="1" applyAlignment="1">
      <alignment horizontal="left"/>
    </xf>
    <xf numFmtId="0" fontId="7" fillId="3" borderId="132" xfId="0" applyFont="1" applyFill="1" applyBorder="1" applyAlignment="1">
      <alignment horizontal="center"/>
    </xf>
    <xf numFmtId="0" fontId="7" fillId="3" borderId="133" xfId="0" applyFont="1" applyFill="1" applyBorder="1" applyAlignment="1">
      <alignment horizontal="center"/>
    </xf>
    <xf numFmtId="0" fontId="7" fillId="3" borderId="134" xfId="0" applyFont="1" applyFill="1" applyBorder="1" applyAlignment="1">
      <alignment horizontal="center"/>
    </xf>
    <xf numFmtId="0" fontId="6" fillId="0" borderId="135" xfId="0" applyFont="1" applyBorder="1" applyAlignment="1">
      <alignment horizontal="left"/>
    </xf>
    <xf numFmtId="169" fontId="6" fillId="0" borderId="10" xfId="0" applyNumberFormat="1" applyFont="1" applyBorder="1" applyAlignment="1">
      <alignment horizontal="center"/>
    </xf>
    <xf numFmtId="170" fontId="6" fillId="0" borderId="10" xfId="0" applyNumberFormat="1" applyFont="1" applyBorder="1" applyAlignment="1">
      <alignment horizontal="center"/>
    </xf>
    <xf numFmtId="170" fontId="6" fillId="0" borderId="136" xfId="0" applyNumberFormat="1" applyFont="1" applyBorder="1" applyAlignment="1">
      <alignment horizontal="center"/>
    </xf>
    <xf numFmtId="0" fontId="7" fillId="3" borderId="133" xfId="0" applyFont="1" applyFill="1" applyBorder="1" applyAlignment="1">
      <alignment horizontal="left"/>
    </xf>
    <xf numFmtId="0" fontId="7" fillId="3" borderId="73" xfId="0" applyFont="1" applyFill="1" applyBorder="1" applyAlignment="1">
      <alignment horizontal="center"/>
    </xf>
    <xf numFmtId="0" fontId="6" fillId="0" borderId="137" xfId="0" applyFont="1" applyBorder="1" applyAlignment="1">
      <alignment horizontal="left"/>
    </xf>
    <xf numFmtId="169" fontId="6" fillId="0" borderId="16" xfId="0" applyNumberFormat="1" applyFont="1" applyBorder="1" applyAlignment="1">
      <alignment horizontal="center"/>
    </xf>
    <xf numFmtId="170" fontId="6" fillId="0" borderId="16" xfId="0" applyNumberFormat="1" applyFont="1" applyBorder="1" applyAlignment="1">
      <alignment horizontal="center"/>
    </xf>
    <xf numFmtId="170" fontId="6" fillId="0" borderId="138" xfId="0" applyNumberFormat="1" applyFont="1" applyBorder="1" applyAlignment="1">
      <alignment horizontal="center"/>
    </xf>
    <xf numFmtId="169" fontId="6" fillId="0" borderId="12" xfId="0" applyNumberFormat="1" applyFont="1" applyBorder="1" applyAlignment="1">
      <alignment horizontal="center"/>
    </xf>
    <xf numFmtId="169" fontId="6" fillId="0" borderId="139" xfId="0" applyNumberFormat="1" applyFont="1" applyBorder="1" applyAlignment="1">
      <alignment horizontal="center"/>
    </xf>
    <xf numFmtId="0" fontId="7" fillId="0" borderId="140" xfId="0" applyFont="1" applyBorder="1" applyAlignment="1">
      <alignment horizontal="left"/>
    </xf>
    <xf numFmtId="169" fontId="7" fillId="0" borderId="141" xfId="0" applyNumberFormat="1" applyFont="1" applyBorder="1" applyAlignment="1">
      <alignment horizontal="center"/>
    </xf>
    <xf numFmtId="169" fontId="7" fillId="0" borderId="142" xfId="0" applyNumberFormat="1" applyFont="1" applyBorder="1" applyAlignment="1">
      <alignment horizontal="center"/>
    </xf>
    <xf numFmtId="169" fontId="7" fillId="0" borderId="143" xfId="0" applyNumberFormat="1" applyFont="1" applyBorder="1" applyAlignment="1">
      <alignment horizontal="center"/>
    </xf>
    <xf numFmtId="4" fontId="0" fillId="2" borderId="0" xfId="0" applyNumberFormat="1" applyFont="1" applyFill="1" applyBorder="1" applyAlignment="1">
      <alignment horizontal="left"/>
    </xf>
    <xf numFmtId="0" fontId="7" fillId="3" borderId="131" xfId="0" applyFont="1" applyFill="1" applyBorder="1" applyAlignment="1">
      <alignment horizontal="left"/>
    </xf>
    <xf numFmtId="0" fontId="6" fillId="0" borderId="7" xfId="0" applyFont="1" applyBorder="1" applyAlignment="1">
      <alignment horizontal="left"/>
    </xf>
    <xf numFmtId="0" fontId="6" fillId="0" borderId="13" xfId="0" applyFont="1" applyBorder="1" applyAlignment="1">
      <alignment horizontal="left"/>
    </xf>
    <xf numFmtId="0" fontId="6" fillId="0" borderId="67" xfId="0" applyFont="1" applyBorder="1" applyAlignment="1">
      <alignment horizontal="left"/>
    </xf>
    <xf numFmtId="0" fontId="7" fillId="0" borderId="144" xfId="0" applyFont="1" applyBorder="1" applyAlignment="1">
      <alignment horizontal="left"/>
    </xf>
    <xf numFmtId="0" fontId="7" fillId="3" borderId="145" xfId="0" applyFont="1" applyFill="1" applyBorder="1" applyAlignment="1">
      <alignment horizontal="center"/>
    </xf>
    <xf numFmtId="0" fontId="7" fillId="3" borderId="146" xfId="0" applyFont="1" applyFill="1" applyBorder="1" applyAlignment="1">
      <alignment horizontal="center"/>
    </xf>
    <xf numFmtId="169" fontId="6" fillId="0" borderId="66" xfId="0" applyNumberFormat="1" applyFont="1" applyBorder="1" applyAlignment="1">
      <alignment horizontal="center"/>
    </xf>
    <xf numFmtId="169" fontId="6" fillId="0" borderId="48" xfId="0" applyNumberFormat="1" applyFont="1" applyBorder="1" applyAlignment="1">
      <alignment horizontal="center"/>
    </xf>
    <xf numFmtId="0" fontId="7" fillId="3" borderId="147" xfId="0" applyFont="1" applyFill="1" applyBorder="1" applyAlignment="1">
      <alignment horizontal="center"/>
    </xf>
    <xf numFmtId="169" fontId="6" fillId="0" borderId="50" xfId="0" applyNumberFormat="1" applyFont="1" applyBorder="1" applyAlignment="1">
      <alignment horizontal="center"/>
    </xf>
    <xf numFmtId="170" fontId="3" fillId="4" borderId="148" xfId="0" applyNumberFormat="1" applyFont="1" applyFill="1" applyBorder="1" applyAlignment="1">
      <alignment horizontal="center"/>
    </xf>
    <xf numFmtId="169" fontId="7" fillId="0" borderId="149" xfId="0" applyNumberFormat="1" applyFont="1" applyBorder="1" applyAlignment="1">
      <alignment horizontal="center"/>
    </xf>
    <xf numFmtId="169" fontId="7" fillId="0" borderId="141" xfId="0" applyNumberFormat="1" applyFont="1" applyBorder="1" applyAlignment="1">
      <alignment horizontal="center"/>
    </xf>
    <xf numFmtId="169" fontId="7" fillId="0" borderId="142" xfId="0" applyNumberFormat="1" applyFont="1" applyBorder="1" applyAlignment="1">
      <alignment horizontal="center"/>
    </xf>
    <xf numFmtId="0" fontId="10" fillId="0" borderId="0" xfId="2"/>
    <xf numFmtId="0" fontId="9" fillId="0" borderId="0" xfId="0" applyFont="1"/>
    <xf numFmtId="0" fontId="9" fillId="0" borderId="0" xfId="0" applyFont="1" applyAlignment="1">
      <alignment horizontal="right"/>
    </xf>
    <xf numFmtId="0" fontId="11" fillId="0" borderId="0" xfId="0" applyFont="1" applyFill="1" applyBorder="1"/>
    <xf numFmtId="0" fontId="11" fillId="0" borderId="0" xfId="0" applyFont="1" applyFill="1" applyBorder="1" applyAlignment="1">
      <alignment vertical="top"/>
    </xf>
    <xf numFmtId="0" fontId="12" fillId="0" borderId="0" xfId="0" applyFont="1" applyAlignment="1">
      <alignment vertical="top"/>
    </xf>
    <xf numFmtId="0" fontId="9" fillId="0" borderId="0" xfId="0" applyFont="1" applyAlignment="1">
      <alignment vertical="top"/>
    </xf>
    <xf numFmtId="0" fontId="12" fillId="0" borderId="0" xfId="0" applyFont="1" applyAlignment="1">
      <alignment vertical="top" wrapText="1"/>
    </xf>
    <xf numFmtId="0" fontId="15" fillId="0" borderId="0" xfId="3"/>
    <xf numFmtId="0" fontId="9" fillId="0" borderId="0" xfId="0" applyFont="1"/>
    <xf numFmtId="0" fontId="10" fillId="0" borderId="0" xfId="2" applyFont="1"/>
    <xf numFmtId="0" fontId="0" fillId="0" borderId="0" xfId="0" applyAlignment="1">
      <alignment vertical="top"/>
    </xf>
    <xf numFmtId="0" fontId="6"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left"/>
    </xf>
    <xf numFmtId="0" fontId="9" fillId="0" borderId="0" xfId="0" applyFont="1" applyAlignment="1">
      <alignment horizontal="left" wrapText="1"/>
    </xf>
    <xf numFmtId="0" fontId="6" fillId="0" borderId="0" xfId="0" applyFont="1" applyAlignment="1">
      <alignment horizontal="left"/>
    </xf>
    <xf numFmtId="0" fontId="0" fillId="0" borderId="0" xfId="0" applyAlignment="1">
      <alignment horizontal="left"/>
    </xf>
    <xf numFmtId="0" fontId="14" fillId="0" borderId="0" xfId="0" applyFont="1" applyAlignment="1">
      <alignment vertical="top"/>
    </xf>
    <xf numFmtId="0" fontId="9" fillId="0" borderId="0" xfId="0" applyFont="1" applyAlignment="1">
      <alignment vertical="top"/>
    </xf>
    <xf numFmtId="0" fontId="0" fillId="0" borderId="0" xfId="0" applyFont="1"/>
    <xf numFmtId="0" fontId="15" fillId="0" borderId="0" xfId="3" applyFont="1"/>
    <xf numFmtId="49" fontId="16" fillId="3" borderId="150" xfId="0" applyNumberFormat="1" applyFont="1" applyFill="1" applyBorder="1" applyAlignment="1">
      <alignment horizontal="center" vertical="center" wrapText="1"/>
    </xf>
    <xf numFmtId="0" fontId="16" fillId="3" borderId="151" xfId="0" applyFont="1" applyFill="1" applyBorder="1" applyAlignment="1">
      <alignment horizontal="center" vertical="center" wrapText="1"/>
    </xf>
    <xf numFmtId="0" fontId="16" fillId="3" borderId="152" xfId="0" applyFont="1" applyFill="1" applyBorder="1" applyAlignment="1">
      <alignment horizontal="center" vertical="center" wrapText="1"/>
    </xf>
    <xf numFmtId="0" fontId="17" fillId="0" borderId="153" xfId="0" applyFont="1" applyBorder="1" applyAlignment="1">
      <alignment vertical="center" wrapText="1"/>
    </xf>
    <xf numFmtId="0" fontId="18" fillId="0" borderId="154" xfId="0" applyFont="1" applyBorder="1" applyAlignment="1">
      <alignment horizontal="right" vertical="center" wrapText="1"/>
    </xf>
    <xf numFmtId="0" fontId="17" fillId="0" borderId="155" xfId="0" applyFont="1" applyBorder="1" applyAlignment="1">
      <alignment vertical="center" wrapText="1"/>
    </xf>
    <xf numFmtId="0" fontId="18" fillId="0" borderId="156" xfId="0" applyFont="1" applyBorder="1" applyAlignment="1">
      <alignment horizontal="right" vertical="center" wrapText="1"/>
    </xf>
    <xf numFmtId="0" fontId="19" fillId="0" borderId="155" xfId="0" applyFont="1" applyBorder="1" applyAlignment="1">
      <alignment vertical="center" wrapText="1"/>
    </xf>
    <xf numFmtId="0" fontId="19" fillId="0" borderId="156" xfId="0" applyFont="1" applyBorder="1" applyAlignment="1">
      <alignment horizontal="right" vertical="center" wrapText="1"/>
    </xf>
    <xf numFmtId="0" fontId="17" fillId="0" borderId="156" xfId="0" applyFont="1" applyBorder="1" applyAlignment="1">
      <alignment horizontal="right" vertical="center" wrapText="1"/>
    </xf>
    <xf numFmtId="3" fontId="19" fillId="0" borderId="156" xfId="0" applyNumberFormat="1" applyFont="1" applyBorder="1" applyAlignment="1">
      <alignment horizontal="right" vertical="center" wrapText="1"/>
    </xf>
    <xf numFmtId="172" fontId="17" fillId="0" borderId="156" xfId="0" applyNumberFormat="1" applyFont="1" applyBorder="1" applyAlignment="1">
      <alignment horizontal="right" vertical="center" wrapText="1"/>
    </xf>
    <xf numFmtId="172" fontId="19" fillId="0" borderId="156" xfId="0" applyNumberFormat="1" applyFont="1" applyBorder="1" applyAlignment="1">
      <alignment horizontal="right" vertical="center" wrapText="1"/>
    </xf>
    <xf numFmtId="171" fontId="17" fillId="0" borderId="156" xfId="0" applyNumberFormat="1" applyFont="1" applyBorder="1" applyAlignment="1">
      <alignment horizontal="right" vertical="center" wrapText="1"/>
    </xf>
    <xf numFmtId="0" fontId="0" fillId="0" borderId="155" xfId="0" applyFont="1" applyBorder="1"/>
    <xf numFmtId="0" fontId="0" fillId="0" borderId="156" xfId="0" applyFont="1" applyBorder="1"/>
    <xf numFmtId="0" fontId="17" fillId="0" borderId="158" xfId="0" applyFont="1" applyBorder="1" applyAlignment="1">
      <alignment vertical="center" wrapText="1"/>
    </xf>
    <xf numFmtId="0" fontId="19" fillId="0" borderId="158" xfId="0" applyFont="1" applyBorder="1" applyAlignment="1">
      <alignment vertical="center"/>
    </xf>
    <xf numFmtId="0" fontId="19" fillId="0" borderId="158" xfId="0" applyFont="1" applyBorder="1" applyAlignment="1">
      <alignment vertical="center" wrapText="1"/>
    </xf>
    <xf numFmtId="0" fontId="19" fillId="0" borderId="157" xfId="0" applyFont="1" applyBorder="1" applyAlignment="1">
      <alignment vertical="center" wrapText="1"/>
    </xf>
    <xf numFmtId="0" fontId="18" fillId="0" borderId="159" xfId="0" applyFont="1" applyBorder="1" applyAlignment="1">
      <alignment horizontal="right" vertical="center" wrapText="1"/>
    </xf>
    <xf numFmtId="0" fontId="18" fillId="0" borderId="160" xfId="0" applyFont="1" applyBorder="1" applyAlignment="1">
      <alignment horizontal="right" vertical="center" wrapText="1"/>
    </xf>
    <xf numFmtId="0" fontId="18" fillId="0" borderId="161" xfId="0" applyFont="1" applyBorder="1" applyAlignment="1">
      <alignment horizontal="right" vertical="center" wrapText="1"/>
    </xf>
    <xf numFmtId="0" fontId="18" fillId="0" borderId="162" xfId="0" applyFont="1" applyBorder="1" applyAlignment="1">
      <alignment horizontal="right" vertical="center" wrapText="1"/>
    </xf>
    <xf numFmtId="0" fontId="19" fillId="0" borderId="163" xfId="0" applyFont="1" applyBorder="1" applyAlignment="1">
      <alignment horizontal="right" vertical="center" wrapText="1"/>
    </xf>
    <xf numFmtId="0" fontId="19" fillId="0" borderId="164" xfId="0" applyFont="1" applyBorder="1" applyAlignment="1">
      <alignment horizontal="right" vertical="center" wrapText="1"/>
    </xf>
    <xf numFmtId="0" fontId="19" fillId="0" borderId="165" xfId="0" applyFont="1" applyBorder="1" applyAlignment="1">
      <alignment horizontal="right" vertical="center" wrapText="1"/>
    </xf>
    <xf numFmtId="0" fontId="17" fillId="0" borderId="165" xfId="0" applyFont="1" applyBorder="1" applyAlignment="1">
      <alignment horizontal="right" vertical="center" wrapText="1"/>
    </xf>
    <xf numFmtId="0" fontId="17" fillId="0" borderId="165" xfId="0" applyFont="1" applyBorder="1" applyAlignment="1">
      <alignment vertical="center" wrapText="1"/>
    </xf>
    <xf numFmtId="8" fontId="17" fillId="0" borderId="165" xfId="0" applyNumberFormat="1" applyFont="1" applyBorder="1" applyAlignment="1">
      <alignment vertical="center" wrapText="1"/>
    </xf>
    <xf numFmtId="0" fontId="0" fillId="0" borderId="165" xfId="0" applyFont="1" applyBorder="1"/>
    <xf numFmtId="0" fontId="0" fillId="0" borderId="166" xfId="0" applyFont="1" applyBorder="1"/>
    <xf numFmtId="171" fontId="17" fillId="0" borderId="165" xfId="0" applyNumberFormat="1" applyFont="1" applyBorder="1" applyAlignment="1">
      <alignment horizontal="right" vertical="center" wrapText="1"/>
    </xf>
    <xf numFmtId="171" fontId="17" fillId="0" borderId="165" xfId="0" applyNumberFormat="1" applyFont="1" applyBorder="1" applyAlignment="1">
      <alignment vertical="center" wrapText="1"/>
    </xf>
    <xf numFmtId="0" fontId="18" fillId="0" borderId="165" xfId="0" applyFont="1" applyBorder="1" applyAlignment="1">
      <alignment horizontal="right" vertical="center" wrapText="1"/>
    </xf>
    <xf numFmtId="0" fontId="18" fillId="0" borderId="166" xfId="0" applyFont="1" applyBorder="1" applyAlignment="1">
      <alignment horizontal="right" vertical="center" wrapText="1"/>
    </xf>
    <xf numFmtId="171" fontId="17" fillId="0" borderId="167" xfId="0" applyNumberFormat="1" applyFont="1" applyBorder="1" applyAlignment="1">
      <alignment horizontal="right" vertical="center" wrapText="1"/>
    </xf>
    <xf numFmtId="171" fontId="17" fillId="0" borderId="167" xfId="0" applyNumberFormat="1" applyFont="1" applyBorder="1" applyAlignment="1">
      <alignment vertical="center" wrapText="1"/>
    </xf>
    <xf numFmtId="171" fontId="17" fillId="0" borderId="168" xfId="0" applyNumberFormat="1" applyFont="1" applyBorder="1" applyAlignment="1">
      <alignment vertical="center" wrapText="1"/>
    </xf>
    <xf numFmtId="171" fontId="19" fillId="0" borderId="163" xfId="0" applyNumberFormat="1" applyFont="1" applyBorder="1" applyAlignment="1">
      <alignment vertical="center" wrapText="1"/>
    </xf>
    <xf numFmtId="171" fontId="19" fillId="0" borderId="164" xfId="0" applyNumberFormat="1" applyFont="1" applyBorder="1" applyAlignment="1">
      <alignment vertical="center" wrapText="1"/>
    </xf>
    <xf numFmtId="172" fontId="17" fillId="0" borderId="165" xfId="0" applyNumberFormat="1" applyFont="1" applyBorder="1" applyAlignment="1">
      <alignment horizontal="right" vertical="center" wrapText="1"/>
    </xf>
    <xf numFmtId="6" fontId="0" fillId="0" borderId="165" xfId="0" applyNumberFormat="1" applyFont="1" applyBorder="1" applyAlignment="1">
      <alignment vertical="center"/>
    </xf>
    <xf numFmtId="8" fontId="0" fillId="0" borderId="165" xfId="0" applyNumberFormat="1" applyFont="1" applyBorder="1" applyAlignment="1">
      <alignment vertical="center"/>
    </xf>
    <xf numFmtId="8" fontId="0" fillId="0" borderId="166" xfId="0" applyNumberFormat="1" applyFont="1" applyBorder="1" applyAlignment="1">
      <alignment vertical="center"/>
    </xf>
    <xf numFmtId="173" fontId="0" fillId="0" borderId="165" xfId="0" applyNumberFormat="1" applyFont="1" applyBorder="1" applyAlignment="1">
      <alignment vertical="center"/>
    </xf>
    <xf numFmtId="172" fontId="17" fillId="0" borderId="167" xfId="0" applyNumberFormat="1" applyFont="1" applyBorder="1" applyAlignment="1">
      <alignment horizontal="right" vertical="center" wrapText="1"/>
    </xf>
    <xf numFmtId="6" fontId="0" fillId="0" borderId="167" xfId="0" applyNumberFormat="1" applyFont="1" applyBorder="1" applyAlignment="1">
      <alignment vertical="center"/>
    </xf>
    <xf numFmtId="8" fontId="0" fillId="0" borderId="167" xfId="0" applyNumberFormat="1" applyFont="1" applyBorder="1" applyAlignment="1">
      <alignment vertical="center"/>
    </xf>
    <xf numFmtId="8" fontId="0" fillId="0" borderId="168" xfId="0" applyNumberFormat="1" applyFont="1" applyBorder="1" applyAlignment="1">
      <alignment vertical="center"/>
    </xf>
    <xf numFmtId="172" fontId="19" fillId="0" borderId="163" xfId="0" applyNumberFormat="1" applyFont="1" applyBorder="1" applyAlignment="1">
      <alignment vertical="center" wrapText="1"/>
    </xf>
    <xf numFmtId="172" fontId="19" fillId="0" borderId="164" xfId="0" applyNumberFormat="1" applyFont="1" applyBorder="1" applyAlignment="1">
      <alignment vertical="center" wrapText="1"/>
    </xf>
    <xf numFmtId="172" fontId="19" fillId="0" borderId="165" xfId="0" applyNumberFormat="1" applyFont="1" applyBorder="1" applyAlignment="1">
      <alignment horizontal="right" vertical="center" wrapText="1"/>
    </xf>
    <xf numFmtId="172" fontId="17" fillId="0" borderId="165" xfId="0" applyNumberFormat="1" applyFont="1" applyBorder="1" applyAlignment="1">
      <alignment vertical="center" wrapText="1"/>
    </xf>
    <xf numFmtId="171" fontId="17" fillId="0" borderId="166" xfId="0" applyNumberFormat="1" applyFont="1" applyBorder="1" applyAlignment="1">
      <alignment vertical="center" wrapText="1"/>
    </xf>
    <xf numFmtId="171" fontId="0" fillId="0" borderId="165" xfId="0" applyNumberFormat="1" applyFont="1" applyBorder="1"/>
    <xf numFmtId="171" fontId="0" fillId="0" borderId="165" xfId="0" applyNumberFormat="1" applyFont="1" applyBorder="1" applyAlignment="1">
      <alignment vertical="center"/>
    </xf>
    <xf numFmtId="171" fontId="0" fillId="0" borderId="166" xfId="0" applyNumberFormat="1" applyFont="1" applyBorder="1" applyAlignment="1">
      <alignment vertical="center"/>
    </xf>
    <xf numFmtId="171" fontId="0" fillId="0" borderId="166" xfId="0" applyNumberFormat="1" applyFont="1" applyBorder="1"/>
    <xf numFmtId="172" fontId="17" fillId="0" borderId="166" xfId="0" applyNumberFormat="1" applyFont="1" applyBorder="1" applyAlignment="1">
      <alignment vertical="center" wrapText="1"/>
    </xf>
    <xf numFmtId="172" fontId="0" fillId="0" borderId="167" xfId="0" applyNumberFormat="1" applyFont="1" applyBorder="1" applyAlignment="1">
      <alignment horizontal="right" vertical="center"/>
    </xf>
    <xf numFmtId="172" fontId="0" fillId="0" borderId="168" xfId="0" applyNumberFormat="1" applyFont="1" applyBorder="1" applyAlignment="1">
      <alignment horizontal="right" vertical="center"/>
    </xf>
    <xf numFmtId="172" fontId="17" fillId="0" borderId="169" xfId="0" applyNumberFormat="1" applyFont="1" applyBorder="1" applyAlignment="1">
      <alignment horizontal="right" vertical="center" wrapText="1"/>
    </xf>
    <xf numFmtId="172" fontId="17" fillId="0" borderId="161" xfId="0" applyNumberFormat="1" applyFont="1" applyBorder="1" applyAlignment="1">
      <alignment horizontal="right" vertical="center" wrapText="1"/>
    </xf>
    <xf numFmtId="172" fontId="17" fillId="0" borderId="167" xfId="0" applyNumberFormat="1" applyFont="1" applyBorder="1" applyAlignment="1">
      <alignment vertical="center" wrapText="1"/>
    </xf>
    <xf numFmtId="172" fontId="17" fillId="0" borderId="168" xfId="0" applyNumberFormat="1" applyFont="1" applyBorder="1" applyAlignment="1">
      <alignment vertical="center" wrapText="1"/>
    </xf>
    <xf numFmtId="172" fontId="19" fillId="0" borderId="170" xfId="0" applyNumberFormat="1" applyFont="1" applyBorder="1" applyAlignment="1">
      <alignment horizontal="right" vertical="center" wrapText="1"/>
    </xf>
    <xf numFmtId="172" fontId="19" fillId="0" borderId="163" xfId="0" applyNumberFormat="1" applyFont="1" applyBorder="1" applyAlignment="1">
      <alignment horizontal="right" vertical="center" wrapText="1"/>
    </xf>
    <xf numFmtId="172" fontId="19" fillId="0" borderId="164" xfId="0" applyNumberFormat="1" applyFont="1" applyBorder="1" applyAlignment="1">
      <alignment horizontal="right" vertical="center" wrapText="1"/>
    </xf>
    <xf numFmtId="174" fontId="19" fillId="0" borderId="171" xfId="0" applyNumberFormat="1" applyFont="1" applyBorder="1" applyAlignment="1">
      <alignment horizontal="right" vertical="center" wrapText="1"/>
    </xf>
    <xf numFmtId="174" fontId="19" fillId="0" borderId="165" xfId="0" applyNumberFormat="1" applyFont="1" applyBorder="1" applyAlignment="1">
      <alignment horizontal="right" vertical="center" wrapText="1"/>
    </xf>
    <xf numFmtId="174" fontId="17" fillId="0" borderId="165" xfId="0" applyNumberFormat="1" applyFont="1" applyBorder="1" applyAlignment="1">
      <alignment horizontal="right" vertical="center" wrapText="1"/>
    </xf>
    <xf numFmtId="174" fontId="17" fillId="0" borderId="165" xfId="0" applyNumberFormat="1" applyFont="1" applyBorder="1" applyAlignment="1">
      <alignment vertical="center" wrapText="1"/>
    </xf>
    <xf numFmtId="0" fontId="17" fillId="0" borderId="171" xfId="0" applyFont="1" applyBorder="1" applyAlignment="1">
      <alignment horizontal="right" vertical="center" wrapText="1"/>
    </xf>
    <xf numFmtId="3" fontId="17" fillId="0" borderId="165" xfId="0" applyNumberFormat="1" applyFont="1" applyBorder="1" applyAlignment="1">
      <alignment horizontal="right" vertical="center" wrapText="1"/>
    </xf>
    <xf numFmtId="0" fontId="17" fillId="0" borderId="166" xfId="0" applyFont="1" applyBorder="1" applyAlignment="1">
      <alignment horizontal="right" vertical="center" wrapText="1"/>
    </xf>
    <xf numFmtId="0" fontId="17" fillId="0" borderId="166" xfId="0" applyFont="1" applyBorder="1" applyAlignment="1">
      <alignment vertical="center" wrapText="1"/>
    </xf>
    <xf numFmtId="0" fontId="17" fillId="0" borderId="172" xfId="0" applyFont="1" applyBorder="1" applyAlignment="1">
      <alignment horizontal="right" vertical="center" wrapText="1"/>
    </xf>
    <xf numFmtId="0" fontId="17" fillId="0" borderId="167" xfId="0" applyFont="1" applyBorder="1" applyAlignment="1">
      <alignment horizontal="right" vertical="center" wrapText="1"/>
    </xf>
    <xf numFmtId="0" fontId="17" fillId="0" borderId="167" xfId="0" applyFont="1" applyBorder="1" applyAlignment="1">
      <alignment vertical="center" wrapText="1"/>
    </xf>
    <xf numFmtId="0" fontId="17" fillId="0" borderId="168" xfId="0" applyFont="1" applyBorder="1" applyAlignment="1">
      <alignment vertical="center" wrapText="1"/>
    </xf>
    <xf numFmtId="0" fontId="19" fillId="0" borderId="170" xfId="0" applyFont="1" applyBorder="1" applyAlignment="1">
      <alignment horizontal="right" vertical="center" wrapText="1"/>
    </xf>
    <xf numFmtId="0" fontId="19" fillId="0" borderId="163" xfId="0" applyFont="1" applyBorder="1" applyAlignment="1">
      <alignment vertical="center" wrapText="1"/>
    </xf>
    <xf numFmtId="0" fontId="19" fillId="0" borderId="164" xfId="0" applyFont="1" applyBorder="1" applyAlignment="1">
      <alignment vertical="center" wrapText="1"/>
    </xf>
    <xf numFmtId="0" fontId="19" fillId="0" borderId="171" xfId="0" applyFont="1" applyBorder="1" applyAlignment="1">
      <alignment horizontal="right" vertical="center" wrapText="1"/>
    </xf>
    <xf numFmtId="0" fontId="19" fillId="0" borderId="165" xfId="0" applyFont="1" applyBorder="1" applyAlignment="1">
      <alignment vertical="center" wrapText="1"/>
    </xf>
    <xf numFmtId="0" fontId="17" fillId="0" borderId="171" xfId="0" applyFont="1" applyBorder="1" applyAlignment="1">
      <alignment horizontal="right" vertical="center"/>
    </xf>
    <xf numFmtId="0" fontId="17" fillId="0" borderId="165" xfId="0" applyFont="1" applyBorder="1" applyAlignment="1">
      <alignment horizontal="right" vertical="center"/>
    </xf>
    <xf numFmtId="0" fontId="0" fillId="0" borderId="172" xfId="0" applyFont="1" applyBorder="1" applyAlignment="1">
      <alignment horizontal="right" vertical="center"/>
    </xf>
    <xf numFmtId="0" fontId="0" fillId="0" borderId="167" xfId="0" applyFont="1" applyBorder="1" applyAlignment="1">
      <alignment horizontal="right" vertical="center"/>
    </xf>
    <xf numFmtId="0" fontId="19" fillId="0" borderId="170" xfId="0" applyFont="1" applyBorder="1" applyAlignment="1">
      <alignment horizontal="right" vertical="center"/>
    </xf>
    <xf numFmtId="0" fontId="19" fillId="0" borderId="163" xfId="0" applyFont="1" applyBorder="1" applyAlignment="1">
      <alignment horizontal="right" vertical="center"/>
    </xf>
    <xf numFmtId="0" fontId="19" fillId="0" borderId="171" xfId="0" applyFont="1" applyBorder="1" applyAlignment="1">
      <alignment horizontal="right" vertical="center"/>
    </xf>
    <xf numFmtId="0" fontId="19" fillId="0" borderId="165" xfId="0" applyFont="1" applyBorder="1" applyAlignment="1">
      <alignment horizontal="right" vertical="center"/>
    </xf>
    <xf numFmtId="0" fontId="14" fillId="0" borderId="173" xfId="0" applyFont="1" applyBorder="1"/>
    <xf numFmtId="0" fontId="14" fillId="0" borderId="174" xfId="0" applyFont="1" applyBorder="1"/>
    <xf numFmtId="0" fontId="14" fillId="0" borderId="175" xfId="0" applyFont="1" applyBorder="1"/>
    <xf numFmtId="0" fontId="11" fillId="0" borderId="0" xfId="1" applyFill="1" applyBorder="1" applyAlignment="1">
      <alignment vertical="top"/>
    </xf>
    <xf numFmtId="0" fontId="9" fillId="0" borderId="0" xfId="0" applyFont="1" applyAlignment="1">
      <alignment horizontal="left" wrapText="1"/>
    </xf>
    <xf numFmtId="0" fontId="6" fillId="0" borderId="0" xfId="0" applyFont="1" applyAlignment="1">
      <alignment horizontal="left"/>
    </xf>
    <xf numFmtId="0" fontId="0" fillId="0" borderId="0" xfId="0" applyAlignment="1">
      <alignment horizontal="left"/>
    </xf>
    <xf numFmtId="0" fontId="9" fillId="0" borderId="0" xfId="0" applyFont="1" applyAlignment="1">
      <alignment horizontal="left"/>
    </xf>
    <xf numFmtId="0" fontId="9"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left" vertical="top" wrapText="1"/>
    </xf>
    <xf numFmtId="0" fontId="3" fillId="2" borderId="0" xfId="0" applyFont="1" applyFill="1" applyBorder="1" applyAlignment="1">
      <alignment horizontal="left" wrapText="1"/>
    </xf>
    <xf numFmtId="0" fontId="4" fillId="2" borderId="0" xfId="0" applyFont="1" applyFill="1" applyBorder="1" applyAlignment="1">
      <alignment horizontal="left" wrapText="1"/>
    </xf>
    <xf numFmtId="0" fontId="7" fillId="3" borderId="3" xfId="0" applyFont="1" applyFill="1" applyBorder="1" applyAlignment="1">
      <alignment horizontal="left" vertical="center"/>
    </xf>
    <xf numFmtId="0" fontId="7" fillId="3" borderId="6" xfId="0" applyFont="1" applyFill="1" applyBorder="1" applyAlignment="1">
      <alignment horizontal="left" vertical="center"/>
    </xf>
    <xf numFmtId="0" fontId="7" fillId="3" borderId="4" xfId="0" applyFont="1" applyFill="1" applyBorder="1" applyAlignment="1">
      <alignment horizontal="left" vertical="center"/>
    </xf>
    <xf numFmtId="0" fontId="7" fillId="3" borderId="1" xfId="0" applyFont="1" applyFill="1" applyBorder="1" applyAlignment="1">
      <alignment horizontal="left" vertical="center"/>
    </xf>
    <xf numFmtId="0" fontId="6" fillId="4" borderId="25" xfId="0" applyFont="1" applyFill="1" applyBorder="1" applyAlignment="1">
      <alignment horizontal="left"/>
    </xf>
    <xf numFmtId="0" fontId="6"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5" fillId="2" borderId="0" xfId="0" applyFont="1" applyFill="1" applyBorder="1" applyAlignment="1">
      <alignment horizont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2" borderId="0" xfId="2" applyFill="1" applyAlignment="1">
      <alignment horizontal="left" wrapText="1"/>
    </xf>
    <xf numFmtId="0" fontId="10" fillId="2" borderId="0" xfId="2" applyFill="1" applyAlignment="1">
      <alignment horizontal="left"/>
    </xf>
    <xf numFmtId="0" fontId="2" fillId="3" borderId="55" xfId="0" applyFont="1" applyFill="1" applyBorder="1" applyAlignment="1">
      <alignment horizontal="center" vertical="center" wrapText="1"/>
    </xf>
    <xf numFmtId="0" fontId="2" fillId="3" borderId="64"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3" xfId="0" applyFont="1" applyFill="1" applyBorder="1" applyAlignment="1">
      <alignment horizontal="left" vertical="center"/>
    </xf>
    <xf numFmtId="0" fontId="2" fillId="3" borderId="6" xfId="0" applyFont="1" applyFill="1" applyBorder="1" applyAlignment="1">
      <alignment horizontal="left" vertical="center"/>
    </xf>
    <xf numFmtId="0" fontId="1" fillId="2" borderId="0" xfId="0" applyFont="1" applyFill="1" applyBorder="1" applyAlignment="1">
      <alignment horizontal="left" wrapText="1"/>
    </xf>
    <xf numFmtId="0" fontId="7" fillId="3" borderId="76" xfId="0" applyFont="1" applyFill="1" applyBorder="1" applyAlignment="1">
      <alignment horizontal="left" vertical="center"/>
    </xf>
    <xf numFmtId="0" fontId="7" fillId="3" borderId="81" xfId="0" applyFont="1" applyFill="1" applyBorder="1" applyAlignment="1">
      <alignment horizontal="left" vertical="center"/>
    </xf>
    <xf numFmtId="0" fontId="7" fillId="3" borderId="78" xfId="0" applyFont="1" applyFill="1" applyBorder="1" applyAlignment="1">
      <alignment horizontal="center"/>
    </xf>
    <xf numFmtId="0" fontId="7" fillId="3" borderId="80" xfId="0" applyFont="1" applyFill="1" applyBorder="1" applyAlignment="1">
      <alignment horizontal="center"/>
    </xf>
    <xf numFmtId="0" fontId="7" fillId="3" borderId="77" xfId="0" applyFont="1" applyFill="1" applyBorder="1" applyAlignment="1">
      <alignment horizontal="center"/>
    </xf>
    <xf numFmtId="0" fontId="7" fillId="3" borderId="79" xfId="0" applyFont="1" applyFill="1" applyBorder="1" applyAlignment="1">
      <alignment horizontal="center"/>
    </xf>
    <xf numFmtId="0" fontId="7" fillId="3" borderId="101" xfId="0" applyFont="1" applyFill="1" applyBorder="1" applyAlignment="1">
      <alignment horizontal="center" vertical="top"/>
    </xf>
    <xf numFmtId="0" fontId="7" fillId="3" borderId="102" xfId="0" applyFont="1" applyFill="1" applyBorder="1" applyAlignment="1">
      <alignment horizontal="center" vertical="top"/>
    </xf>
    <xf numFmtId="0" fontId="7" fillId="3" borderId="103" xfId="0" applyFont="1" applyFill="1" applyBorder="1" applyAlignment="1">
      <alignment horizontal="center" vertical="top"/>
    </xf>
    <xf numFmtId="0" fontId="7" fillId="3" borderId="126" xfId="0" applyFont="1" applyFill="1" applyBorder="1" applyAlignment="1">
      <alignment horizontal="center" vertical="top"/>
    </xf>
    <xf numFmtId="0" fontId="7" fillId="3" borderId="127" xfId="0" applyFont="1" applyFill="1" applyBorder="1" applyAlignment="1">
      <alignment horizontal="center"/>
    </xf>
    <xf numFmtId="0" fontId="7" fillId="3" borderId="128" xfId="0" applyFont="1" applyFill="1" applyBorder="1" applyAlignment="1">
      <alignment horizontal="center"/>
    </xf>
    <xf numFmtId="0" fontId="7" fillId="3" borderId="129" xfId="0" applyFont="1" applyFill="1" applyBorder="1" applyAlignment="1">
      <alignment horizontal="center"/>
    </xf>
    <xf numFmtId="0" fontId="7" fillId="3" borderId="96" xfId="0" applyFont="1" applyFill="1" applyBorder="1" applyAlignment="1">
      <alignment horizontal="left" vertical="center"/>
    </xf>
    <xf numFmtId="0" fontId="7" fillId="3" borderId="98" xfId="0" applyFont="1" applyFill="1" applyBorder="1" applyAlignment="1">
      <alignment horizontal="left" vertical="center"/>
    </xf>
    <xf numFmtId="0" fontId="7" fillId="3" borderId="97" xfId="0" applyFont="1" applyFill="1" applyBorder="1" applyAlignment="1">
      <alignment horizontal="left" vertical="center"/>
    </xf>
  </cellXfs>
  <cellStyles count="4">
    <cellStyle name="Heading 1" xfId="2" builtinId="16" customBuiltin="1"/>
    <cellStyle name="Heading 2" xfId="3" builtinId="17" customBuiltin="1"/>
    <cellStyle name="Hyperlink" xfId="1" builtinId="8" customBuiltin="1"/>
    <cellStyle name="Normal" xfId="0" builtinId="0" customBuiltin="1"/>
  </cellStyles>
  <dxfs count="0"/>
  <tableStyles count="0" defaultTableStyle="TableStyleMedium9" defaultPivotStyle="PivotStyleMedium4"/>
  <colors>
    <mruColors>
      <color rgb="FFEDF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2026078</xdr:colOff>
      <xdr:row>0</xdr:row>
      <xdr:rowOff>85725</xdr:rowOff>
    </xdr:from>
    <xdr:to>
      <xdr:col>3</xdr:col>
      <xdr:colOff>338581</xdr:colOff>
      <xdr:row>3</xdr:row>
      <xdr:rowOff>542925</xdr:rowOff>
    </xdr:to>
    <xdr:pic>
      <xdr:nvPicPr>
        <xdr:cNvPr id="2" name="Picture 1">
          <a:hlinkClick xmlns:r="http://schemas.openxmlformats.org/officeDocument/2006/relationships" r:id="rId1"/>
          <a:extLst>
            <a:ext uri="{FF2B5EF4-FFF2-40B4-BE49-F238E27FC236}">
              <a16:creationId xmlns:a16="http://schemas.microsoft.com/office/drawing/2014/main" id="{29CAB34C-8681-4910-AA32-E25A2AD4FF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4588303" y="85725"/>
          <a:ext cx="3770328"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4AF32-41CD-455F-920C-33FAF0A54201}">
  <sheetPr>
    <tabColor rgb="FFFF0000"/>
  </sheetPr>
  <dimension ref="B2:F39"/>
  <sheetViews>
    <sheetView showGridLines="0" tabSelected="1" workbookViewId="0"/>
  </sheetViews>
  <sheetFormatPr defaultRowHeight="15" x14ac:dyDescent="0.25"/>
  <cols>
    <col min="1" max="1" width="9.140625" style="191"/>
    <col min="2" max="2" width="28.140625" style="191" customWidth="1"/>
    <col min="3" max="3" width="81.85546875" style="191" customWidth="1"/>
    <col min="4" max="16384" width="9.140625" style="191"/>
  </cols>
  <sheetData>
    <row r="2" spans="2:6" ht="21" x14ac:dyDescent="0.35">
      <c r="B2" s="190" t="s">
        <v>79</v>
      </c>
      <c r="C2" s="192"/>
    </row>
    <row r="4" spans="2:6" ht="61.5" customHeight="1" x14ac:dyDescent="0.25">
      <c r="B4" s="310" t="s">
        <v>104</v>
      </c>
      <c r="C4" s="310"/>
      <c r="D4" s="310"/>
      <c r="E4" s="310"/>
      <c r="F4" s="310"/>
    </row>
    <row r="5" spans="2:6" x14ac:dyDescent="0.25">
      <c r="B5" s="193" t="s">
        <v>80</v>
      </c>
    </row>
    <row r="7" spans="2:6" x14ac:dyDescent="0.25">
      <c r="B7" s="191" t="s">
        <v>81</v>
      </c>
    </row>
    <row r="8" spans="2:6" x14ac:dyDescent="0.25">
      <c r="B8" s="193" t="s">
        <v>82</v>
      </c>
    </row>
    <row r="9" spans="2:6" x14ac:dyDescent="0.25">
      <c r="B9" s="193"/>
    </row>
    <row r="11" spans="2:6" x14ac:dyDescent="0.25">
      <c r="B11" s="309" t="s">
        <v>83</v>
      </c>
      <c r="C11" s="195" t="s">
        <v>84</v>
      </c>
    </row>
    <row r="12" spans="2:6" x14ac:dyDescent="0.25">
      <c r="B12" s="196"/>
      <c r="C12" s="196"/>
    </row>
    <row r="13" spans="2:6" x14ac:dyDescent="0.25">
      <c r="B13" s="309" t="s">
        <v>85</v>
      </c>
      <c r="C13" s="195" t="s">
        <v>86</v>
      </c>
    </row>
    <row r="14" spans="2:6" x14ac:dyDescent="0.25">
      <c r="B14" s="196"/>
      <c r="C14" s="196"/>
    </row>
    <row r="15" spans="2:6" x14ac:dyDescent="0.25">
      <c r="B15" s="309" t="s">
        <v>87</v>
      </c>
      <c r="C15" s="195" t="s">
        <v>88</v>
      </c>
    </row>
    <row r="16" spans="2:6" x14ac:dyDescent="0.25">
      <c r="B16" s="194"/>
      <c r="C16" s="195"/>
    </row>
    <row r="17" spans="2:3" ht="30" x14ac:dyDescent="0.25">
      <c r="B17" s="194" t="s">
        <v>89</v>
      </c>
      <c r="C17" s="197" t="s">
        <v>105</v>
      </c>
    </row>
    <row r="18" spans="2:3" ht="17.25" x14ac:dyDescent="0.25">
      <c r="B18" s="196"/>
      <c r="C18" s="195" t="s">
        <v>90</v>
      </c>
    </row>
    <row r="19" spans="2:3" x14ac:dyDescent="0.25">
      <c r="B19" s="196"/>
      <c r="C19" s="195"/>
    </row>
    <row r="20" spans="2:3" ht="30" x14ac:dyDescent="0.25">
      <c r="B20" s="194" t="s">
        <v>55</v>
      </c>
      <c r="C20" s="197" t="s">
        <v>106</v>
      </c>
    </row>
    <row r="21" spans="2:3" ht="17.25" x14ac:dyDescent="0.25">
      <c r="B21" s="196"/>
      <c r="C21" s="195" t="s">
        <v>91</v>
      </c>
    </row>
    <row r="22" spans="2:3" x14ac:dyDescent="0.25">
      <c r="B22" s="196"/>
      <c r="C22" s="195"/>
    </row>
    <row r="23" spans="2:3" ht="30" x14ac:dyDescent="0.25">
      <c r="B23" s="194" t="s">
        <v>92</v>
      </c>
      <c r="C23" s="197" t="s">
        <v>107</v>
      </c>
    </row>
    <row r="24" spans="2:3" x14ac:dyDescent="0.25">
      <c r="B24" s="196"/>
      <c r="C24" s="195" t="s">
        <v>93</v>
      </c>
    </row>
    <row r="25" spans="2:3" x14ac:dyDescent="0.25">
      <c r="B25" s="196"/>
      <c r="C25" s="195"/>
    </row>
    <row r="26" spans="2:3" ht="30" x14ac:dyDescent="0.25">
      <c r="B26" s="194" t="s">
        <v>94</v>
      </c>
      <c r="C26" s="197" t="s">
        <v>108</v>
      </c>
    </row>
    <row r="27" spans="2:3" x14ac:dyDescent="0.25">
      <c r="B27" s="196"/>
      <c r="C27" s="195" t="s">
        <v>95</v>
      </c>
    </row>
    <row r="28" spans="2:3" x14ac:dyDescent="0.25">
      <c r="B28" s="196"/>
      <c r="C28" s="195"/>
    </row>
    <row r="29" spans="2:3" x14ac:dyDescent="0.25">
      <c r="B29" s="194" t="s">
        <v>96</v>
      </c>
      <c r="C29" s="195" t="s">
        <v>109</v>
      </c>
    </row>
    <row r="30" spans="2:3" x14ac:dyDescent="0.25">
      <c r="B30" s="196"/>
      <c r="C30" s="195" t="s">
        <v>45</v>
      </c>
    </row>
    <row r="31" spans="2:3" x14ac:dyDescent="0.25">
      <c r="B31" s="196"/>
      <c r="C31" s="195"/>
    </row>
    <row r="32" spans="2:3" x14ac:dyDescent="0.25">
      <c r="B32" s="194" t="s">
        <v>97</v>
      </c>
      <c r="C32" s="195" t="s">
        <v>110</v>
      </c>
    </row>
    <row r="33" spans="2:3" x14ac:dyDescent="0.25">
      <c r="B33" s="196"/>
      <c r="C33" s="196"/>
    </row>
    <row r="34" spans="2:3" x14ac:dyDescent="0.25">
      <c r="B34" s="194" t="s">
        <v>98</v>
      </c>
      <c r="C34" s="195" t="s">
        <v>99</v>
      </c>
    </row>
    <row r="35" spans="2:3" x14ac:dyDescent="0.25">
      <c r="B35" s="196"/>
      <c r="C35" s="196"/>
    </row>
    <row r="36" spans="2:3" x14ac:dyDescent="0.25">
      <c r="B36" s="194" t="s">
        <v>100</v>
      </c>
      <c r="C36" s="195" t="s">
        <v>101</v>
      </c>
    </row>
    <row r="37" spans="2:3" x14ac:dyDescent="0.25">
      <c r="B37" s="196"/>
      <c r="C37" s="196"/>
    </row>
    <row r="38" spans="2:3" x14ac:dyDescent="0.25">
      <c r="B38" s="194" t="s">
        <v>102</v>
      </c>
      <c r="C38" s="195" t="s">
        <v>103</v>
      </c>
    </row>
    <row r="39" spans="2:3" x14ac:dyDescent="0.25">
      <c r="B39" s="196"/>
      <c r="C39" s="196"/>
    </row>
  </sheetData>
  <mergeCells count="1">
    <mergeCell ref="B4:F4"/>
  </mergeCells>
  <hyperlinks>
    <hyperlink ref="B5" r:id="rId1" xr:uid="{E1CD19D4-C70C-4A51-90BF-6EAE4DCBAB08}"/>
    <hyperlink ref="B8" r:id="rId2" xr:uid="{6FF8BC62-A3C4-4756-94E0-7367A3194CD3}"/>
    <hyperlink ref="B11" location="Notes!A1" display="Notes" xr:uid="{5F533952-4718-4BC7-B79A-32658C96825E}"/>
    <hyperlink ref="B13" location="Glossary!A1" display="Glossary" xr:uid="{7C7C8746-9D09-4849-9BF3-6EDAE36D95F4}"/>
    <hyperlink ref="B20" location="GAS!A1" display="Gas" xr:uid="{31CD3B0F-C512-4288-B43A-2A5BA0917404}"/>
    <hyperlink ref="B23" location="LPG!A1" display="LPG" xr:uid="{C0B802E2-BE9C-4D26-A058-F347EEFD2BF3}"/>
    <hyperlink ref="B26" location="'Gas and LPG Combined'!A1" display="Gas and LPG combined" xr:uid="{3701B3B7-2AA3-4BCD-89B6-3C8F9A2B8EE8}"/>
    <hyperlink ref="B29" location="'Gas System Deliverability'!A1" display="Gas system deliverability" xr:uid="{82294497-FED4-4E90-8126-CB4D67717C46}"/>
    <hyperlink ref="B32" location="'2C Resources'!A1" display="2C resources" xr:uid="{530B697D-59A3-4B5A-BC3A-81B34ABAA402}"/>
    <hyperlink ref="B34" location="'Petroleum Initially in Place'!A1" display="Petroleum Initially in Place" xr:uid="{B2CD2894-061E-47A8-A0D6-F4A5AE72E3A0}"/>
    <hyperlink ref="B36" location="'Oil Production Profile'!A1" display="Oil production profile" xr:uid="{B2CC7D80-6379-42C1-B3EB-D729793A0AEB}"/>
    <hyperlink ref="B38" location="'Gas LPG Production Profile'!A1" display="Gas/LPG production profile" xr:uid="{98C8218C-FCFD-4D87-8E96-FDA734BA71A9}"/>
    <hyperlink ref="B15" location="Activity!A1" display="Activity" xr:uid="{14C1ED44-80A1-4931-B88F-2530AD1A675A}"/>
    <hyperlink ref="B17" location="'Oil and Condensate'!A1" display="Oil and Condensate" xr:uid="{9EE6115C-22C0-417E-80C2-D0C8015D4AC3}"/>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CAD2D"/>
    <pageSetUpPr fitToPage="1"/>
  </sheetPr>
  <dimension ref="B1:G27"/>
  <sheetViews>
    <sheetView zoomScale="85" zoomScaleNormal="85" workbookViewId="0"/>
  </sheetViews>
  <sheetFormatPr defaultColWidth="11.42578125" defaultRowHeight="12" customHeight="1" x14ac:dyDescent="0.25"/>
  <cols>
    <col min="1" max="1" width="11.42578125" customWidth="1"/>
    <col min="2" max="2" width="38.7109375" customWidth="1"/>
    <col min="3" max="3" width="18.5703125" customWidth="1"/>
    <col min="4" max="4" width="18.140625" customWidth="1"/>
    <col min="5" max="6" width="14.7109375" customWidth="1"/>
  </cols>
  <sheetData>
    <row r="1" spans="2:6" s="4" customFormat="1" ht="15" customHeight="1" x14ac:dyDescent="0.25"/>
    <row r="2" spans="2:6" ht="21" customHeight="1" x14ac:dyDescent="0.35">
      <c r="B2" s="330" t="s">
        <v>48</v>
      </c>
      <c r="C2" s="331"/>
      <c r="D2" s="331"/>
      <c r="E2" s="331"/>
      <c r="F2" s="331"/>
    </row>
    <row r="3" spans="2:6" ht="15" customHeight="1" thickBot="1" x14ac:dyDescent="0.3"/>
    <row r="4" spans="2:6" ht="17.100000000000001" customHeight="1" x14ac:dyDescent="0.25">
      <c r="B4" s="338" t="s">
        <v>7</v>
      </c>
      <c r="C4" s="344" t="s">
        <v>73</v>
      </c>
      <c r="D4" s="345"/>
      <c r="E4" s="345"/>
      <c r="F4" s="346"/>
    </row>
    <row r="5" spans="2:6" ht="30" x14ac:dyDescent="0.25">
      <c r="B5" s="339"/>
      <c r="C5" s="123" t="s">
        <v>75</v>
      </c>
      <c r="D5" s="124" t="s">
        <v>76</v>
      </c>
      <c r="E5" s="124" t="s">
        <v>74</v>
      </c>
      <c r="F5" s="125" t="s">
        <v>49</v>
      </c>
    </row>
    <row r="6" spans="2:6" ht="17.100000000000001" customHeight="1" x14ac:dyDescent="0.25">
      <c r="B6" s="114" t="s">
        <v>29</v>
      </c>
      <c r="C6" s="115">
        <v>24.107836761130802</v>
      </c>
      <c r="D6" s="116" t="s">
        <v>50</v>
      </c>
      <c r="E6" s="116" t="s">
        <v>50</v>
      </c>
      <c r="F6" s="117">
        <v>44.240497871976302</v>
      </c>
    </row>
    <row r="7" spans="2:6" ht="17.100000000000001" customHeight="1" x14ac:dyDescent="0.25">
      <c r="B7" s="114" t="s">
        <v>65</v>
      </c>
      <c r="C7" s="115">
        <v>6.4156067811959998</v>
      </c>
      <c r="D7" s="118">
        <v>3.8430742581478001</v>
      </c>
      <c r="E7" s="116" t="s">
        <v>50</v>
      </c>
      <c r="F7" s="117">
        <v>33.616300000000003</v>
      </c>
    </row>
    <row r="8" spans="2:6" ht="17.100000000000001" customHeight="1" x14ac:dyDescent="0.25">
      <c r="B8" s="114" t="s">
        <v>18</v>
      </c>
      <c r="C8" s="115">
        <v>55.491662901378803</v>
      </c>
      <c r="D8" s="118" t="s">
        <v>50</v>
      </c>
      <c r="E8" s="116">
        <v>642.44932177368901</v>
      </c>
      <c r="F8" s="117">
        <v>201.84364471761501</v>
      </c>
    </row>
    <row r="9" spans="2:6" ht="17.100000000000001" customHeight="1" x14ac:dyDescent="0.25">
      <c r="B9" s="114" t="s">
        <v>21</v>
      </c>
      <c r="C9" s="115">
        <v>45.114669413971399</v>
      </c>
      <c r="D9" s="118" t="s">
        <v>50</v>
      </c>
      <c r="E9" s="116">
        <v>653.10386389982204</v>
      </c>
      <c r="F9" s="117">
        <v>153.01970475028801</v>
      </c>
    </row>
    <row r="10" spans="2:6" ht="17.100000000000001" customHeight="1" x14ac:dyDescent="0.25">
      <c r="B10" s="114" t="s">
        <v>25</v>
      </c>
      <c r="C10" s="115">
        <v>0.16400001485692001</v>
      </c>
      <c r="D10" s="118" t="s">
        <v>50</v>
      </c>
      <c r="E10" s="116" t="s">
        <v>50</v>
      </c>
      <c r="F10" s="117">
        <v>0.15758381771730001</v>
      </c>
    </row>
    <row r="11" spans="2:6" ht="17.100000000000001" customHeight="1" x14ac:dyDescent="0.25">
      <c r="B11" s="114" t="s">
        <v>30</v>
      </c>
      <c r="C11" s="115">
        <v>39.185519849854003</v>
      </c>
      <c r="D11" s="118" t="s">
        <v>50</v>
      </c>
      <c r="E11" s="116" t="s">
        <v>50</v>
      </c>
      <c r="F11" s="117" t="s">
        <v>50</v>
      </c>
    </row>
    <row r="12" spans="2:6" ht="17.100000000000001" customHeight="1" x14ac:dyDescent="0.25">
      <c r="B12" s="114" t="s">
        <v>51</v>
      </c>
      <c r="C12" s="115">
        <v>0.62898105697999995</v>
      </c>
      <c r="D12" s="118" t="s">
        <v>50</v>
      </c>
      <c r="E12" s="116" t="s">
        <v>50</v>
      </c>
      <c r="F12" s="117" t="s">
        <v>50</v>
      </c>
    </row>
    <row r="13" spans="2:6" ht="17.100000000000001" customHeight="1" x14ac:dyDescent="0.25">
      <c r="B13" s="114" t="s">
        <v>20</v>
      </c>
      <c r="C13" s="115">
        <v>2.5000002264770001E-2</v>
      </c>
      <c r="D13" s="118" t="s">
        <v>50</v>
      </c>
      <c r="E13" s="116" t="s">
        <v>50</v>
      </c>
      <c r="F13" s="117">
        <v>5.1301631001939997E-2</v>
      </c>
    </row>
    <row r="14" spans="2:6" ht="17.100000000000001" customHeight="1" x14ac:dyDescent="0.25">
      <c r="B14" s="114" t="s">
        <v>33</v>
      </c>
      <c r="C14" s="115" t="s">
        <v>50</v>
      </c>
      <c r="D14" s="118">
        <v>2.1322457831622001</v>
      </c>
      <c r="E14" s="116">
        <v>54.372999999999998</v>
      </c>
      <c r="F14" s="117">
        <v>59.6845</v>
      </c>
    </row>
    <row r="15" spans="2:6" ht="17.100000000000001" customHeight="1" x14ac:dyDescent="0.25">
      <c r="B15" s="114" t="s">
        <v>27</v>
      </c>
      <c r="C15" s="115" t="s">
        <v>50</v>
      </c>
      <c r="D15" s="118">
        <v>1.6353507481480001</v>
      </c>
      <c r="E15" s="116">
        <v>155.19999999999999</v>
      </c>
      <c r="F15" s="117">
        <v>36.224423999999999</v>
      </c>
    </row>
    <row r="16" spans="2:6" ht="17.100000000000001" customHeight="1" x14ac:dyDescent="0.25">
      <c r="B16" s="114" t="s">
        <v>26</v>
      </c>
      <c r="C16" s="115" t="s">
        <v>50</v>
      </c>
      <c r="D16" s="118">
        <v>2.1592483837838499</v>
      </c>
      <c r="E16" s="116">
        <v>102.86687999999999</v>
      </c>
      <c r="F16" s="117">
        <v>207.64047009010201</v>
      </c>
    </row>
    <row r="17" spans="2:7" ht="17.100000000000001" customHeight="1" x14ac:dyDescent="0.25">
      <c r="B17" s="114" t="s">
        <v>31</v>
      </c>
      <c r="C17" s="115" t="s">
        <v>50</v>
      </c>
      <c r="D17" s="118">
        <v>9.5982509295147995</v>
      </c>
      <c r="E17" s="116" t="s">
        <v>50</v>
      </c>
      <c r="F17" s="117">
        <v>402.49079999999998</v>
      </c>
    </row>
    <row r="18" spans="2:7" ht="17.100000000000001" customHeight="1" x14ac:dyDescent="0.25">
      <c r="B18" s="114" t="s">
        <v>14</v>
      </c>
      <c r="C18" s="115" t="s">
        <v>50</v>
      </c>
      <c r="D18" s="118">
        <v>4.4028673988599998E-2</v>
      </c>
      <c r="E18" s="116" t="s">
        <v>50</v>
      </c>
      <c r="F18" s="117">
        <v>0.93600000000000005</v>
      </c>
    </row>
    <row r="19" spans="2:7" ht="17.100000000000001" customHeight="1" x14ac:dyDescent="0.25">
      <c r="B19" s="114" t="s">
        <v>64</v>
      </c>
      <c r="C19" s="115" t="s">
        <v>50</v>
      </c>
      <c r="D19" s="118">
        <v>2.2140133205696002</v>
      </c>
      <c r="E19" s="116" t="s">
        <v>50</v>
      </c>
      <c r="F19" s="117">
        <v>72.437200000000004</v>
      </c>
    </row>
    <row r="20" spans="2:7" ht="17.100000000000001" customHeight="1" x14ac:dyDescent="0.25">
      <c r="B20" s="114" t="s">
        <v>23</v>
      </c>
      <c r="C20" s="115" t="s">
        <v>50</v>
      </c>
      <c r="D20" s="118">
        <v>2.2014336994299999</v>
      </c>
      <c r="E20" s="116" t="s">
        <v>50</v>
      </c>
      <c r="F20" s="117">
        <v>65.961699999999993</v>
      </c>
    </row>
    <row r="21" spans="2:7" ht="17.100000000000001" customHeight="1" x14ac:dyDescent="0.25">
      <c r="B21" s="114" t="s">
        <v>32</v>
      </c>
      <c r="C21" s="115" t="s">
        <v>50</v>
      </c>
      <c r="D21" s="118">
        <v>11.219238098519501</v>
      </c>
      <c r="E21" s="116">
        <v>1479.3122480614099</v>
      </c>
      <c r="F21" s="117">
        <v>577.36568288253204</v>
      </c>
    </row>
    <row r="22" spans="2:7" ht="17.100000000000001" customHeight="1" x14ac:dyDescent="0.25">
      <c r="B22" s="126" t="s">
        <v>52</v>
      </c>
      <c r="C22" s="127" t="s">
        <v>50</v>
      </c>
      <c r="D22" s="128" t="s">
        <v>50</v>
      </c>
      <c r="E22" s="129" t="s">
        <v>50</v>
      </c>
      <c r="F22" s="130">
        <v>155.32400000000001</v>
      </c>
    </row>
    <row r="23" spans="2:7" ht="17.100000000000001" customHeight="1" thickBot="1" x14ac:dyDescent="0.3">
      <c r="B23" s="119" t="s">
        <v>47</v>
      </c>
      <c r="C23" s="120">
        <v>171.13327678163299</v>
      </c>
      <c r="D23" s="121">
        <v>35.046883895264301</v>
      </c>
      <c r="E23" s="121">
        <v>3087.3053137349202</v>
      </c>
      <c r="F23" s="122">
        <v>2010.9938097612301</v>
      </c>
    </row>
    <row r="25" spans="2:7" ht="17.100000000000001" customHeight="1" x14ac:dyDescent="0.25">
      <c r="B25" s="318"/>
      <c r="C25" s="318"/>
      <c r="D25" s="318"/>
      <c r="E25" s="318"/>
      <c r="F25" s="318"/>
      <c r="G25" s="1"/>
    </row>
    <row r="26" spans="2:7" ht="17.100000000000001" customHeight="1" x14ac:dyDescent="0.25">
      <c r="B26" s="318"/>
      <c r="C26" s="318"/>
      <c r="D26" s="318"/>
      <c r="E26" s="318"/>
      <c r="F26" s="318"/>
      <c r="G26" s="1"/>
    </row>
    <row r="27" spans="2:7" ht="17.100000000000001" customHeight="1" x14ac:dyDescent="0.25">
      <c r="B27" s="318"/>
      <c r="C27" s="318"/>
      <c r="D27" s="318"/>
      <c r="E27" s="318"/>
      <c r="F27" s="318"/>
      <c r="G27" s="1"/>
    </row>
  </sheetData>
  <mergeCells count="6">
    <mergeCell ref="C4:F4"/>
    <mergeCell ref="B2:F2"/>
    <mergeCell ref="B25:F25"/>
    <mergeCell ref="B26:F26"/>
    <mergeCell ref="B27:F27"/>
    <mergeCell ref="B4:B5"/>
  </mergeCells>
  <pageMargins left="0.05" right="0.05" top="0.5" bottom="0.5" header="0" footer="0"/>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CAD2D"/>
    <pageSetUpPr fitToPage="1"/>
  </sheetPr>
  <dimension ref="B1:T30"/>
  <sheetViews>
    <sheetView zoomScale="85" zoomScaleNormal="85" zoomScalePageLayoutView="90" workbookViewId="0"/>
  </sheetViews>
  <sheetFormatPr defaultColWidth="11.42578125" defaultRowHeight="12" customHeight="1" x14ac:dyDescent="0.25"/>
  <cols>
    <col min="1" max="1" width="11.42578125" customWidth="1"/>
    <col min="2" max="2" width="38.7109375" customWidth="1"/>
    <col min="3" max="20" width="12.7109375" customWidth="1"/>
  </cols>
  <sheetData>
    <row r="1" spans="2:20" s="4" customFormat="1" ht="15" customHeight="1" x14ac:dyDescent="0.25"/>
    <row r="2" spans="2:20" ht="21" customHeight="1" x14ac:dyDescent="0.35">
      <c r="B2" s="330" t="s">
        <v>53</v>
      </c>
      <c r="C2" s="331"/>
      <c r="D2" s="331"/>
      <c r="E2" s="331"/>
      <c r="F2" s="331"/>
      <c r="G2" s="331"/>
      <c r="H2" s="331"/>
      <c r="I2" s="331"/>
      <c r="J2" s="331"/>
      <c r="K2" s="331"/>
      <c r="L2" s="331"/>
      <c r="M2" s="331"/>
      <c r="N2" s="331"/>
      <c r="O2" s="331"/>
      <c r="P2" s="331"/>
      <c r="Q2" s="331"/>
      <c r="R2" s="331"/>
      <c r="S2" s="331"/>
      <c r="T2" s="331"/>
    </row>
    <row r="3" spans="2:20" ht="15" customHeight="1" thickBot="1" x14ac:dyDescent="0.3"/>
    <row r="4" spans="2:20" ht="17.100000000000001" customHeight="1" x14ac:dyDescent="0.25">
      <c r="B4" s="351" t="s">
        <v>7</v>
      </c>
      <c r="C4" s="344" t="s">
        <v>54</v>
      </c>
      <c r="D4" s="345"/>
      <c r="E4" s="345"/>
      <c r="F4" s="345"/>
      <c r="G4" s="345"/>
      <c r="H4" s="345"/>
      <c r="I4" s="345"/>
      <c r="J4" s="345"/>
      <c r="K4" s="347"/>
      <c r="L4" s="344" t="s">
        <v>55</v>
      </c>
      <c r="M4" s="345"/>
      <c r="N4" s="345"/>
      <c r="O4" s="345"/>
      <c r="P4" s="345"/>
      <c r="Q4" s="345"/>
      <c r="R4" s="345"/>
      <c r="S4" s="345"/>
      <c r="T4" s="346"/>
    </row>
    <row r="5" spans="2:20" ht="17.100000000000001" customHeight="1" x14ac:dyDescent="0.25">
      <c r="B5" s="352"/>
      <c r="C5" s="348" t="s">
        <v>56</v>
      </c>
      <c r="D5" s="349"/>
      <c r="E5" s="349"/>
      <c r="F5" s="348" t="s">
        <v>57</v>
      </c>
      <c r="G5" s="349"/>
      <c r="H5" s="349"/>
      <c r="I5" s="348" t="s">
        <v>58</v>
      </c>
      <c r="J5" s="349"/>
      <c r="K5" s="349"/>
      <c r="L5" s="348" t="s">
        <v>56</v>
      </c>
      <c r="M5" s="349"/>
      <c r="N5" s="349"/>
      <c r="O5" s="348" t="s">
        <v>57</v>
      </c>
      <c r="P5" s="349"/>
      <c r="Q5" s="349"/>
      <c r="R5" s="348" t="s">
        <v>58</v>
      </c>
      <c r="S5" s="349"/>
      <c r="T5" s="350"/>
    </row>
    <row r="6" spans="2:20" ht="17.100000000000001" customHeight="1" x14ac:dyDescent="0.25">
      <c r="B6" s="353"/>
      <c r="C6" s="151" t="s">
        <v>59</v>
      </c>
      <c r="D6" s="152" t="s">
        <v>60</v>
      </c>
      <c r="E6" s="153" t="s">
        <v>11</v>
      </c>
      <c r="F6" s="151" t="s">
        <v>59</v>
      </c>
      <c r="G6" s="152" t="s">
        <v>60</v>
      </c>
      <c r="H6" s="153" t="s">
        <v>11</v>
      </c>
      <c r="I6" s="151" t="s">
        <v>59</v>
      </c>
      <c r="J6" s="152" t="s">
        <v>60</v>
      </c>
      <c r="K6" s="153" t="s">
        <v>11</v>
      </c>
      <c r="L6" s="151" t="s">
        <v>59</v>
      </c>
      <c r="M6" s="152" t="s">
        <v>61</v>
      </c>
      <c r="N6" s="153" t="s">
        <v>11</v>
      </c>
      <c r="O6" s="151" t="s">
        <v>59</v>
      </c>
      <c r="P6" s="152" t="s">
        <v>61</v>
      </c>
      <c r="Q6" s="153" t="s">
        <v>11</v>
      </c>
      <c r="R6" s="151" t="s">
        <v>59</v>
      </c>
      <c r="S6" s="152" t="s">
        <v>61</v>
      </c>
      <c r="T6" s="153" t="s">
        <v>11</v>
      </c>
    </row>
    <row r="7" spans="2:20" ht="17.100000000000001" customHeight="1" x14ac:dyDescent="0.25">
      <c r="B7" s="131" t="s">
        <v>29</v>
      </c>
      <c r="C7" s="132">
        <v>19.8140161219394</v>
      </c>
      <c r="D7" s="133">
        <v>124.62640803396199</v>
      </c>
      <c r="E7" s="134">
        <v>753.97551941269001</v>
      </c>
      <c r="F7" s="132">
        <v>21.058396957366298</v>
      </c>
      <c r="G7" s="133">
        <v>132.45332776548699</v>
      </c>
      <c r="H7" s="134">
        <v>801.32748889551203</v>
      </c>
      <c r="I7" s="132">
        <v>22.277083551278299</v>
      </c>
      <c r="J7" s="133">
        <v>140.11863558514801</v>
      </c>
      <c r="K7" s="134">
        <v>847.70172478949905</v>
      </c>
      <c r="L7" s="132">
        <v>6840.1059049064597</v>
      </c>
      <c r="M7" s="133">
        <v>241.55606022447299</v>
      </c>
      <c r="N7" s="134">
        <v>289.40488083659199</v>
      </c>
      <c r="O7" s="132">
        <v>7112.7914437896998</v>
      </c>
      <c r="P7" s="133">
        <v>251.185859144045</v>
      </c>
      <c r="Q7" s="134">
        <v>300.94220598674201</v>
      </c>
      <c r="R7" s="132">
        <v>7683.1171155354596</v>
      </c>
      <c r="S7" s="133">
        <v>271.32672015219998</v>
      </c>
      <c r="T7" s="135">
        <v>325.07268515830498</v>
      </c>
    </row>
    <row r="8" spans="2:20" ht="17.100000000000001" customHeight="1" x14ac:dyDescent="0.25">
      <c r="B8" s="136" t="s">
        <v>33</v>
      </c>
      <c r="C8" s="137">
        <v>77.386144000000002</v>
      </c>
      <c r="D8" s="138">
        <v>486.74418648726498</v>
      </c>
      <c r="E8" s="139">
        <v>2865.6602595639802</v>
      </c>
      <c r="F8" s="137">
        <v>78.391503999999998</v>
      </c>
      <c r="G8" s="138">
        <v>493.06771044171899</v>
      </c>
      <c r="H8" s="139">
        <v>2901.6825763283</v>
      </c>
      <c r="I8" s="137">
        <v>79.565631999999994</v>
      </c>
      <c r="J8" s="138">
        <v>500.45275314641702</v>
      </c>
      <c r="K8" s="139">
        <v>2943.75189551531</v>
      </c>
      <c r="L8" s="137">
        <v>181695</v>
      </c>
      <c r="M8" s="138">
        <v>6416.4983660565003</v>
      </c>
      <c r="N8" s="139">
        <v>7167.2730000000001</v>
      </c>
      <c r="O8" s="137">
        <v>185981</v>
      </c>
      <c r="P8" s="138">
        <v>6567.8570275327002</v>
      </c>
      <c r="Q8" s="139">
        <v>7334.2533999999996</v>
      </c>
      <c r="R8" s="137">
        <v>191741</v>
      </c>
      <c r="S8" s="138">
        <v>6771.2695077246999</v>
      </c>
      <c r="T8" s="140">
        <v>7549.1373999999996</v>
      </c>
    </row>
    <row r="9" spans="2:20" ht="17.100000000000001" customHeight="1" x14ac:dyDescent="0.25">
      <c r="B9" s="136" t="s">
        <v>24</v>
      </c>
      <c r="C9" s="137">
        <v>0.56599999999999995</v>
      </c>
      <c r="D9" s="138">
        <v>3.5600327825067999</v>
      </c>
      <c r="E9" s="139">
        <v>20.3265857731629</v>
      </c>
      <c r="F9" s="137">
        <v>0.60399999999999998</v>
      </c>
      <c r="G9" s="138">
        <v>3.7990455841592001</v>
      </c>
      <c r="H9" s="139">
        <v>21.691268210230401</v>
      </c>
      <c r="I9" s="137">
        <v>0.60399999999999998</v>
      </c>
      <c r="J9" s="138">
        <v>3.7990455841592001</v>
      </c>
      <c r="K9" s="139">
        <v>21.691268210230401</v>
      </c>
      <c r="L9" s="137">
        <v>2152</v>
      </c>
      <c r="M9" s="138">
        <v>75.997162738399993</v>
      </c>
      <c r="N9" s="139">
        <v>95.312079999999995</v>
      </c>
      <c r="O9" s="137">
        <v>2294</v>
      </c>
      <c r="P9" s="138">
        <v>81.011845409800003</v>
      </c>
      <c r="Q9" s="139">
        <v>101.60126</v>
      </c>
      <c r="R9" s="137">
        <v>2294</v>
      </c>
      <c r="S9" s="138">
        <v>81.011845409800003</v>
      </c>
      <c r="T9" s="140">
        <v>101.60126</v>
      </c>
    </row>
    <row r="10" spans="2:20" ht="17.100000000000001" customHeight="1" x14ac:dyDescent="0.25">
      <c r="B10" s="136" t="s">
        <v>28</v>
      </c>
      <c r="C10" s="137">
        <v>4.9470000000000001</v>
      </c>
      <c r="D10" s="138">
        <v>31.115692888800599</v>
      </c>
      <c r="E10" s="139">
        <v>185.02966051533301</v>
      </c>
      <c r="F10" s="137">
        <v>5.04</v>
      </c>
      <c r="G10" s="138">
        <v>31.700645271791998</v>
      </c>
      <c r="H10" s="139">
        <v>188.50808348439</v>
      </c>
      <c r="I10" s="137">
        <v>5.0940000000000003</v>
      </c>
      <c r="J10" s="138">
        <v>32.040295042561198</v>
      </c>
      <c r="K10" s="139">
        <v>190.52781295029399</v>
      </c>
      <c r="L10" s="137">
        <v>1066.1289999999999</v>
      </c>
      <c r="M10" s="138">
        <v>37.649990294204301</v>
      </c>
      <c r="N10" s="139">
        <v>39.222885910000002</v>
      </c>
      <c r="O10" s="137">
        <v>1085.385</v>
      </c>
      <c r="P10" s="138">
        <v>38.330009516179501</v>
      </c>
      <c r="Q10" s="139">
        <v>39.931314149999999</v>
      </c>
      <c r="R10" s="137">
        <v>1099.26</v>
      </c>
      <c r="S10" s="138">
        <v>38.820000516641997</v>
      </c>
      <c r="T10" s="140">
        <v>40.441775399999997</v>
      </c>
    </row>
    <row r="11" spans="2:20" ht="17.100000000000001" customHeight="1" x14ac:dyDescent="0.25">
      <c r="B11" s="136" t="s">
        <v>27</v>
      </c>
      <c r="C11" s="137">
        <v>2.72</v>
      </c>
      <c r="D11" s="138">
        <v>17.108284749856001</v>
      </c>
      <c r="E11" s="139">
        <v>99.799692457242301</v>
      </c>
      <c r="F11" s="137">
        <v>3.77</v>
      </c>
      <c r="G11" s="138">
        <v>23.712585848145999</v>
      </c>
      <c r="H11" s="139">
        <v>138.32530903080999</v>
      </c>
      <c r="I11" s="137">
        <v>5.33</v>
      </c>
      <c r="J11" s="138">
        <v>33.524690337034002</v>
      </c>
      <c r="K11" s="139">
        <v>195.56336794011099</v>
      </c>
      <c r="L11" s="137">
        <v>13300.81</v>
      </c>
      <c r="M11" s="138">
        <v>469.71367199002702</v>
      </c>
      <c r="N11" s="139">
        <v>532.69744049999997</v>
      </c>
      <c r="O11" s="137">
        <v>14289.03</v>
      </c>
      <c r="P11" s="138">
        <v>504.612331916301</v>
      </c>
      <c r="Q11" s="139">
        <v>572.27565149999998</v>
      </c>
      <c r="R11" s="137">
        <v>16056.63</v>
      </c>
      <c r="S11" s="138">
        <v>567.034536775221</v>
      </c>
      <c r="T11" s="140">
        <v>643.06803149999996</v>
      </c>
    </row>
    <row r="12" spans="2:20" ht="17.100000000000001" customHeight="1" x14ac:dyDescent="0.25">
      <c r="B12" s="136" t="s">
        <v>65</v>
      </c>
      <c r="C12" s="137">
        <v>12.537983629999999</v>
      </c>
      <c r="D12" s="138">
        <v>78.861541959953399</v>
      </c>
      <c r="E12" s="139">
        <v>384.05491715203601</v>
      </c>
      <c r="F12" s="137">
        <v>12.881980629999999</v>
      </c>
      <c r="G12" s="138">
        <v>81.025217926532903</v>
      </c>
      <c r="H12" s="139">
        <v>394.57467990997498</v>
      </c>
      <c r="I12" s="137">
        <v>14.492987619999999</v>
      </c>
      <c r="J12" s="138">
        <v>91.158146720256596</v>
      </c>
      <c r="K12" s="139">
        <v>443.84084018515301</v>
      </c>
      <c r="L12" s="137">
        <v>3520.23711340206</v>
      </c>
      <c r="M12" s="138">
        <v>124.31600036476399</v>
      </c>
      <c r="N12" s="139">
        <v>138.141413402062</v>
      </c>
      <c r="O12" s="137">
        <v>4462.2268041237103</v>
      </c>
      <c r="P12" s="138">
        <v>157.58205232743501</v>
      </c>
      <c r="Q12" s="139">
        <v>175.53840412371099</v>
      </c>
      <c r="R12" s="137">
        <v>5253.4861107607903</v>
      </c>
      <c r="S12" s="138">
        <v>185.525111014597</v>
      </c>
      <c r="T12" s="140">
        <v>206.95139859720399</v>
      </c>
    </row>
    <row r="13" spans="2:20" ht="17.100000000000001" customHeight="1" x14ac:dyDescent="0.25">
      <c r="B13" s="136" t="s">
        <v>26</v>
      </c>
      <c r="C13" s="137">
        <v>11.235667133584</v>
      </c>
      <c r="D13" s="138">
        <v>70.670217895571199</v>
      </c>
      <c r="E13" s="139">
        <v>451.92461415846998</v>
      </c>
      <c r="F13" s="137">
        <v>15.7832223184794</v>
      </c>
      <c r="G13" s="138">
        <v>99.273478564275294</v>
      </c>
      <c r="H13" s="139">
        <v>634.83784021473696</v>
      </c>
      <c r="I13" s="137">
        <v>21.678525797699301</v>
      </c>
      <c r="J13" s="138">
        <v>136.35382070005099</v>
      </c>
      <c r="K13" s="139">
        <v>871.96063127980801</v>
      </c>
      <c r="L13" s="137">
        <v>58307.284515432002</v>
      </c>
      <c r="M13" s="138">
        <v>2059.1023188445502</v>
      </c>
      <c r="N13" s="139">
        <v>2265.2380034245298</v>
      </c>
      <c r="O13" s="137">
        <v>79017.144802306095</v>
      </c>
      <c r="P13" s="138">
        <v>2790.4641322790799</v>
      </c>
      <c r="Q13" s="139">
        <v>3069.8160755695899</v>
      </c>
      <c r="R13" s="137">
        <v>113389.126278906</v>
      </c>
      <c r="S13" s="138">
        <v>4004.2992019437702</v>
      </c>
      <c r="T13" s="140">
        <v>4405.1675559354899</v>
      </c>
    </row>
    <row r="14" spans="2:20" ht="17.100000000000001" customHeight="1" x14ac:dyDescent="0.25">
      <c r="B14" s="136" t="s">
        <v>18</v>
      </c>
      <c r="C14" s="137">
        <v>92.527869933566805</v>
      </c>
      <c r="D14" s="138">
        <v>581.98277430922803</v>
      </c>
      <c r="E14" s="139">
        <v>3346.5456798321102</v>
      </c>
      <c r="F14" s="137">
        <v>124.422695524825</v>
      </c>
      <c r="G14" s="138">
        <v>782.59518543505203</v>
      </c>
      <c r="H14" s="139">
        <v>4505.9809702101902</v>
      </c>
      <c r="I14" s="137">
        <v>169.56720295633099</v>
      </c>
      <c r="J14" s="138">
        <v>1066.54558544615</v>
      </c>
      <c r="K14" s="139">
        <v>6148.9108477085601</v>
      </c>
      <c r="L14" s="137">
        <v>13224.2498060991</v>
      </c>
      <c r="M14" s="138">
        <v>467.00997425992898</v>
      </c>
      <c r="N14" s="139">
        <v>544.83909201128301</v>
      </c>
      <c r="O14" s="137">
        <v>19248.969583547201</v>
      </c>
      <c r="P14" s="138">
        <v>679.77094516140801</v>
      </c>
      <c r="Q14" s="139">
        <v>793.05754684214605</v>
      </c>
      <c r="R14" s="137">
        <v>28236.866035915999</v>
      </c>
      <c r="S14" s="138">
        <v>997.17551271092498</v>
      </c>
      <c r="T14" s="140">
        <v>1163.35888067974</v>
      </c>
    </row>
    <row r="15" spans="2:20" ht="17.100000000000001" customHeight="1" x14ac:dyDescent="0.25">
      <c r="B15" s="136" t="s">
        <v>31</v>
      </c>
      <c r="C15" s="137">
        <v>19.149999999999999</v>
      </c>
      <c r="D15" s="138">
        <v>120.44987241167</v>
      </c>
      <c r="E15" s="139">
        <v>670.65659867521003</v>
      </c>
      <c r="F15" s="137">
        <v>22.15</v>
      </c>
      <c r="G15" s="138">
        <v>139.31930412106999</v>
      </c>
      <c r="H15" s="139">
        <v>775.72029559560895</v>
      </c>
      <c r="I15" s="137">
        <v>24.52</v>
      </c>
      <c r="J15" s="138">
        <v>154.226155171496</v>
      </c>
      <c r="K15" s="139">
        <v>858.72061616272401</v>
      </c>
      <c r="L15" s="137">
        <v>43077</v>
      </c>
      <c r="M15" s="138">
        <v>1521.2498974359</v>
      </c>
      <c r="N15" s="139">
        <v>1783.3878</v>
      </c>
      <c r="O15" s="137">
        <v>49814</v>
      </c>
      <c r="P15" s="138">
        <v>1759.1648069938001</v>
      </c>
      <c r="Q15" s="139">
        <v>2062.2995999999998</v>
      </c>
      <c r="R15" s="137">
        <v>55154</v>
      </c>
      <c r="S15" s="138">
        <v>1947.7451271718</v>
      </c>
      <c r="T15" s="140">
        <v>2283.3755999999998</v>
      </c>
    </row>
    <row r="16" spans="2:20" ht="17.100000000000001" customHeight="1" x14ac:dyDescent="0.25">
      <c r="B16" s="136" t="s">
        <v>21</v>
      </c>
      <c r="C16" s="137">
        <v>129.49526906536099</v>
      </c>
      <c r="D16" s="138">
        <v>814.50071210640397</v>
      </c>
      <c r="E16" s="139">
        <v>4686.3001424916602</v>
      </c>
      <c r="F16" s="137">
        <v>145.70579907555199</v>
      </c>
      <c r="G16" s="138">
        <v>916.461875106565</v>
      </c>
      <c r="H16" s="139">
        <v>5274.0499546051096</v>
      </c>
      <c r="I16" s="137">
        <v>179.83107396694001</v>
      </c>
      <c r="J16" s="138">
        <v>1131.10338981575</v>
      </c>
      <c r="K16" s="139">
        <v>6511.82630428429</v>
      </c>
      <c r="L16" s="137">
        <v>17921.242169146699</v>
      </c>
      <c r="M16" s="138">
        <v>632.88269405339895</v>
      </c>
      <c r="N16" s="139">
        <v>738.35517736884299</v>
      </c>
      <c r="O16" s="137">
        <v>20070.850454212301</v>
      </c>
      <c r="P16" s="138">
        <v>708.79539417605099</v>
      </c>
      <c r="Q16" s="139">
        <v>826.919038713546</v>
      </c>
      <c r="R16" s="137">
        <v>24683.855385390001</v>
      </c>
      <c r="S16" s="138">
        <v>871.702125806048</v>
      </c>
      <c r="T16" s="140">
        <v>1016.97484187807</v>
      </c>
    </row>
    <row r="17" spans="2:20" ht="17.100000000000001" customHeight="1" x14ac:dyDescent="0.25">
      <c r="B17" s="136" t="s">
        <v>25</v>
      </c>
      <c r="C17" s="137">
        <v>3.8454261734456199</v>
      </c>
      <c r="D17" s="138">
        <v>24.187002191123799</v>
      </c>
      <c r="E17" s="139">
        <v>140.92963913804101</v>
      </c>
      <c r="F17" s="137">
        <v>4.3789876005793502</v>
      </c>
      <c r="G17" s="138">
        <v>27.5430024951471</v>
      </c>
      <c r="H17" s="139">
        <v>160.48393975189401</v>
      </c>
      <c r="I17" s="137">
        <v>5.3556466729519698</v>
      </c>
      <c r="J17" s="138">
        <v>33.686003051647504</v>
      </c>
      <c r="K17" s="139">
        <v>196.27716641187601</v>
      </c>
      <c r="L17" s="137">
        <v>481.48439696303302</v>
      </c>
      <c r="M17" s="138">
        <v>17.003461000000001</v>
      </c>
      <c r="N17" s="139">
        <v>19.9960470058748</v>
      </c>
      <c r="O17" s="137">
        <v>548.29142702909905</v>
      </c>
      <c r="P17" s="138">
        <v>19.362729000000002</v>
      </c>
      <c r="Q17" s="139">
        <v>22.770542964518501</v>
      </c>
      <c r="R17" s="137">
        <v>670.57855029961297</v>
      </c>
      <c r="S17" s="138">
        <v>23.681258</v>
      </c>
      <c r="T17" s="140">
        <v>27.849127193942898</v>
      </c>
    </row>
    <row r="18" spans="2:20" ht="17.100000000000001" customHeight="1" x14ac:dyDescent="0.25">
      <c r="B18" s="136" t="s">
        <v>14</v>
      </c>
      <c r="C18" s="137">
        <v>0.1585</v>
      </c>
      <c r="D18" s="138">
        <v>0.9969349753133</v>
      </c>
      <c r="E18" s="139">
        <v>4.8859961789539197</v>
      </c>
      <c r="F18" s="137">
        <v>0.2172</v>
      </c>
      <c r="G18" s="138">
        <v>1.3661468557605601</v>
      </c>
      <c r="H18" s="139">
        <v>6.6955102212542101</v>
      </c>
      <c r="I18" s="137">
        <v>0.2979</v>
      </c>
      <c r="J18" s="138">
        <v>1.8737345687434199</v>
      </c>
      <c r="K18" s="139">
        <v>9.18320669848816</v>
      </c>
      <c r="L18" s="137">
        <v>510</v>
      </c>
      <c r="M18" s="138">
        <v>18.010480016999999</v>
      </c>
      <c r="N18" s="139">
        <v>18.36</v>
      </c>
      <c r="O18" s="137">
        <v>700</v>
      </c>
      <c r="P18" s="138">
        <v>24.720266689999999</v>
      </c>
      <c r="Q18" s="139">
        <v>25.2</v>
      </c>
      <c r="R18" s="137">
        <v>960</v>
      </c>
      <c r="S18" s="138">
        <v>33.902080032000001</v>
      </c>
      <c r="T18" s="140">
        <v>34.56</v>
      </c>
    </row>
    <row r="19" spans="2:20" ht="17.100000000000001" customHeight="1" x14ac:dyDescent="0.25">
      <c r="B19" s="136" t="s">
        <v>12</v>
      </c>
      <c r="C19" s="137">
        <v>0.25981249006833002</v>
      </c>
      <c r="D19" s="138">
        <v>1.63417134619784</v>
      </c>
      <c r="E19" s="139">
        <v>8.9784292141543993</v>
      </c>
      <c r="F19" s="137">
        <v>0.25981249006833002</v>
      </c>
      <c r="G19" s="138">
        <v>1.63417134619784</v>
      </c>
      <c r="H19" s="139">
        <v>8.9784292141543993</v>
      </c>
      <c r="I19" s="137">
        <v>0.25981249006833002</v>
      </c>
      <c r="J19" s="138">
        <v>1.63417134619784</v>
      </c>
      <c r="K19" s="139">
        <v>8.9784292141543993</v>
      </c>
      <c r="L19" s="137">
        <v>14.7</v>
      </c>
      <c r="M19" s="138">
        <v>0.51912560049000001</v>
      </c>
      <c r="N19" s="139">
        <v>0.56742000000000004</v>
      </c>
      <c r="O19" s="137">
        <v>14.7</v>
      </c>
      <c r="P19" s="138">
        <v>0.51912560049000001</v>
      </c>
      <c r="Q19" s="139">
        <v>0.56742000000000004</v>
      </c>
      <c r="R19" s="137">
        <v>14.7</v>
      </c>
      <c r="S19" s="138">
        <v>0.51912560049000001</v>
      </c>
      <c r="T19" s="140">
        <v>0.56742000000000004</v>
      </c>
    </row>
    <row r="20" spans="2:20" ht="17.100000000000001" customHeight="1" x14ac:dyDescent="0.25">
      <c r="B20" s="136" t="s">
        <v>30</v>
      </c>
      <c r="C20" s="137">
        <v>50.063448593675503</v>
      </c>
      <c r="D20" s="138">
        <v>314.88960812513898</v>
      </c>
      <c r="E20" s="139">
        <v>1936.01648710124</v>
      </c>
      <c r="F20" s="137">
        <v>69.9358368027968</v>
      </c>
      <c r="G20" s="138">
        <v>439.88316553003898</v>
      </c>
      <c r="H20" s="139">
        <v>2704.5067188308099</v>
      </c>
      <c r="I20" s="137">
        <v>92.196038455426702</v>
      </c>
      <c r="J20" s="138">
        <v>579.89561717062998</v>
      </c>
      <c r="K20" s="139">
        <v>3565.3366979132802</v>
      </c>
      <c r="L20" s="137">
        <v>2773.2693032243601</v>
      </c>
      <c r="M20" s="138">
        <v>97.937081112709507</v>
      </c>
      <c r="N20" s="139">
        <v>115.090676083811</v>
      </c>
      <c r="O20" s="137">
        <v>3921.4702111255101</v>
      </c>
      <c r="P20" s="138">
        <v>138.485413479876</v>
      </c>
      <c r="Q20" s="139">
        <v>162.74101376170901</v>
      </c>
      <c r="R20" s="137">
        <v>5180.5883059936596</v>
      </c>
      <c r="S20" s="138">
        <v>182.95074933608399</v>
      </c>
      <c r="T20" s="140">
        <v>214.99441469873699</v>
      </c>
    </row>
    <row r="21" spans="2:20" ht="17.100000000000001" customHeight="1" x14ac:dyDescent="0.25">
      <c r="B21" s="136" t="s">
        <v>64</v>
      </c>
      <c r="C21" s="137">
        <v>5.0123060325621198</v>
      </c>
      <c r="D21" s="138">
        <v>31.526455462681501</v>
      </c>
      <c r="E21" s="139">
        <v>150.70683063188</v>
      </c>
      <c r="F21" s="137">
        <v>6.8562721471701096</v>
      </c>
      <c r="G21" s="138">
        <v>43.124653020695902</v>
      </c>
      <c r="H21" s="139">
        <v>206.15003125047801</v>
      </c>
      <c r="I21" s="137">
        <v>8.8744120709403003</v>
      </c>
      <c r="J21" s="138">
        <v>55.818370844561002</v>
      </c>
      <c r="K21" s="139">
        <v>266.83017921175502</v>
      </c>
      <c r="L21" s="137">
        <v>19465.180237287601</v>
      </c>
      <c r="M21" s="138">
        <v>687.40635233523801</v>
      </c>
      <c r="N21" s="139">
        <v>786.39328158641797</v>
      </c>
      <c r="O21" s="137">
        <v>26198.2903264501</v>
      </c>
      <c r="P21" s="138">
        <v>925.18389098842101</v>
      </c>
      <c r="Q21" s="139">
        <v>1058.41092918859</v>
      </c>
      <c r="R21" s="137">
        <v>33380.801346577398</v>
      </c>
      <c r="S21" s="138">
        <v>1178.83187373329</v>
      </c>
      <c r="T21" s="140">
        <v>1348.58437440173</v>
      </c>
    </row>
    <row r="22" spans="2:20" ht="17.100000000000001" customHeight="1" x14ac:dyDescent="0.25">
      <c r="B22" s="136" t="s">
        <v>51</v>
      </c>
      <c r="C22" s="137">
        <v>0.42</v>
      </c>
      <c r="D22" s="138">
        <v>2.6417204393159999</v>
      </c>
      <c r="E22" s="139">
        <v>15.433142692889801</v>
      </c>
      <c r="F22" s="137">
        <v>0.82</v>
      </c>
      <c r="G22" s="138">
        <v>5.1576446672360001</v>
      </c>
      <c r="H22" s="139">
        <v>30.131373828975299</v>
      </c>
      <c r="I22" s="137">
        <v>1.59</v>
      </c>
      <c r="J22" s="138">
        <v>10.000798805982001</v>
      </c>
      <c r="K22" s="139">
        <v>58.425468765939797</v>
      </c>
      <c r="L22" s="137" t="s">
        <v>62</v>
      </c>
      <c r="M22" s="138" t="s">
        <v>62</v>
      </c>
      <c r="N22" s="139" t="s">
        <v>62</v>
      </c>
      <c r="O22" s="137" t="s">
        <v>62</v>
      </c>
      <c r="P22" s="138" t="s">
        <v>62</v>
      </c>
      <c r="Q22" s="139" t="s">
        <v>62</v>
      </c>
      <c r="R22" s="137" t="s">
        <v>62</v>
      </c>
      <c r="S22" s="138" t="s">
        <v>62</v>
      </c>
      <c r="T22" s="140" t="s">
        <v>62</v>
      </c>
    </row>
    <row r="23" spans="2:20" ht="17.100000000000001" customHeight="1" x14ac:dyDescent="0.25">
      <c r="B23" s="136" t="s">
        <v>23</v>
      </c>
      <c r="C23" s="137">
        <v>0.35136385999999997</v>
      </c>
      <c r="D23" s="138">
        <v>2.21001212047373</v>
      </c>
      <c r="E23" s="139">
        <v>13.263625009722601</v>
      </c>
      <c r="F23" s="137">
        <v>0.47028722949479002</v>
      </c>
      <c r="G23" s="138">
        <v>2.9580175869182601</v>
      </c>
      <c r="H23" s="139">
        <v>17.752860123064998</v>
      </c>
      <c r="I23" s="137">
        <v>0.70894058886347</v>
      </c>
      <c r="J23" s="138">
        <v>4.4591020091936899</v>
      </c>
      <c r="K23" s="139">
        <v>26.761779440996101</v>
      </c>
      <c r="L23" s="137">
        <v>3129.12</v>
      </c>
      <c r="M23" s="138">
        <v>110.503829864304</v>
      </c>
      <c r="N23" s="139">
        <v>122.348592</v>
      </c>
      <c r="O23" s="137">
        <v>3934.67</v>
      </c>
      <c r="P23" s="138">
        <v>138.95155962448899</v>
      </c>
      <c r="Q23" s="139">
        <v>153.845597</v>
      </c>
      <c r="R23" s="137">
        <v>4791.3</v>
      </c>
      <c r="S23" s="138">
        <v>169.20316255970999</v>
      </c>
      <c r="T23" s="140">
        <v>187.33983000000001</v>
      </c>
    </row>
    <row r="24" spans="2:20" ht="17.100000000000001" customHeight="1" x14ac:dyDescent="0.25">
      <c r="B24" s="136" t="s">
        <v>16</v>
      </c>
      <c r="C24" s="137">
        <v>0.31797462880437</v>
      </c>
      <c r="D24" s="138">
        <v>2.0000001811819401</v>
      </c>
      <c r="E24" s="139">
        <v>12.131279144822599</v>
      </c>
      <c r="F24" s="137">
        <v>0.46265308491036</v>
      </c>
      <c r="G24" s="138">
        <v>2.9100002636197302</v>
      </c>
      <c r="H24" s="139">
        <v>17.651011155716901</v>
      </c>
      <c r="I24" s="137">
        <v>0.64866824276090995</v>
      </c>
      <c r="J24" s="138">
        <v>4.0800003696111702</v>
      </c>
      <c r="K24" s="139">
        <v>24.747809455438201</v>
      </c>
      <c r="L24" s="137">
        <v>191.17742691566099</v>
      </c>
      <c r="M24" s="138">
        <v>6.7513671120901799</v>
      </c>
      <c r="N24" s="139">
        <v>7.3660662590604202</v>
      </c>
      <c r="O24" s="137">
        <v>199.24744565411299</v>
      </c>
      <c r="P24" s="138">
        <v>7.0363571341013698</v>
      </c>
      <c r="Q24" s="139">
        <v>7.6770040810529796</v>
      </c>
      <c r="R24" s="137">
        <v>210.39417030658299</v>
      </c>
      <c r="S24" s="138">
        <v>7.43</v>
      </c>
      <c r="T24" s="140">
        <v>8.1064873819126309</v>
      </c>
    </row>
    <row r="25" spans="2:20" ht="17.100000000000001" customHeight="1" x14ac:dyDescent="0.25">
      <c r="B25" s="136" t="s">
        <v>17</v>
      </c>
      <c r="C25" s="137">
        <v>0.64803332379407996</v>
      </c>
      <c r="D25" s="138">
        <v>4.0760068495826296</v>
      </c>
      <c r="E25" s="139">
        <v>23.922793070956899</v>
      </c>
      <c r="F25" s="137">
        <v>0.70685872364780999</v>
      </c>
      <c r="G25" s="138">
        <v>4.4460074713553404</v>
      </c>
      <c r="H25" s="139">
        <v>26.0943910680752</v>
      </c>
      <c r="I25" s="137">
        <v>0.74278991382874004</v>
      </c>
      <c r="J25" s="138">
        <v>4.6720078511408296</v>
      </c>
      <c r="K25" s="139">
        <v>27.420826601450099</v>
      </c>
      <c r="L25" s="137">
        <v>285.13466246939498</v>
      </c>
      <c r="M25" s="138">
        <v>10.0694355697237</v>
      </c>
      <c r="N25" s="139">
        <v>19.776940188877202</v>
      </c>
      <c r="O25" s="137">
        <v>311.01783840503703</v>
      </c>
      <c r="P25" s="138">
        <v>10.9834913010283</v>
      </c>
      <c r="Q25" s="139">
        <v>21.572197271773401</v>
      </c>
      <c r="R25" s="137">
        <v>326.82756208464502</v>
      </c>
      <c r="S25" s="138">
        <v>11.541806423392799</v>
      </c>
      <c r="T25" s="140">
        <v>22.668759706191</v>
      </c>
    </row>
    <row r="26" spans="2:20" ht="17.100000000000001" customHeight="1" x14ac:dyDescent="0.25">
      <c r="B26" s="136" t="s">
        <v>20</v>
      </c>
      <c r="C26" s="137">
        <v>1.2229304223816</v>
      </c>
      <c r="D26" s="138">
        <v>7.6920006968257599</v>
      </c>
      <c r="E26" s="139">
        <v>45.921658618951703</v>
      </c>
      <c r="F26" s="137">
        <v>1.47572025228107</v>
      </c>
      <c r="G26" s="138">
        <v>9.2820008408654004</v>
      </c>
      <c r="H26" s="139">
        <v>55.414045150950301</v>
      </c>
      <c r="I26" s="137">
        <v>1.9654011806398</v>
      </c>
      <c r="J26" s="138">
        <v>12.362001119885599</v>
      </c>
      <c r="K26" s="139">
        <v>73.801812772683505</v>
      </c>
      <c r="L26" s="137">
        <v>214.76379954054599</v>
      </c>
      <c r="M26" s="138">
        <v>7.5843119999999997</v>
      </c>
      <c r="N26" s="139">
        <v>12.9695858542536</v>
      </c>
      <c r="O26" s="137">
        <v>259.15725264370099</v>
      </c>
      <c r="P26" s="138">
        <v>9.1520519999999994</v>
      </c>
      <c r="Q26" s="139">
        <v>15.6505064871531</v>
      </c>
      <c r="R26" s="137">
        <v>345.15211777434098</v>
      </c>
      <c r="S26" s="138">
        <v>12.188931999999999</v>
      </c>
      <c r="T26" s="140">
        <v>20.843736392392501</v>
      </c>
    </row>
    <row r="27" spans="2:20" ht="17.100000000000001" customHeight="1" x14ac:dyDescent="0.25">
      <c r="B27" s="136" t="s">
        <v>32</v>
      </c>
      <c r="C27" s="137">
        <v>32.735488035409702</v>
      </c>
      <c r="D27" s="138">
        <v>205.90001865268101</v>
      </c>
      <c r="E27" s="139">
        <v>1122.68866449705</v>
      </c>
      <c r="F27" s="137">
        <v>48.968092835872604</v>
      </c>
      <c r="G27" s="138">
        <v>308.00002790201899</v>
      </c>
      <c r="H27" s="139">
        <v>1679.39829366242</v>
      </c>
      <c r="I27" s="137">
        <v>61.2419135077212</v>
      </c>
      <c r="J27" s="138">
        <v>385.20003489564198</v>
      </c>
      <c r="K27" s="139">
        <v>2100.33838545053</v>
      </c>
      <c r="L27" s="137">
        <v>80920.976250683205</v>
      </c>
      <c r="M27" s="138">
        <v>2857.69730533149</v>
      </c>
      <c r="N27" s="139">
        <v>2118.5111582428899</v>
      </c>
      <c r="O27" s="137">
        <v>120890.16755062299</v>
      </c>
      <c r="P27" s="138">
        <v>4269.1959743574198</v>
      </c>
      <c r="Q27" s="139">
        <v>3164.9045864753198</v>
      </c>
      <c r="R27" s="137">
        <v>151336.41231555099</v>
      </c>
      <c r="S27" s="138">
        <v>5344.3949604974696</v>
      </c>
      <c r="T27" s="140">
        <v>3961.9872744211302</v>
      </c>
    </row>
    <row r="28" spans="2:20" ht="17.100000000000001" customHeight="1" x14ac:dyDescent="0.25">
      <c r="B28" s="136" t="s">
        <v>52</v>
      </c>
      <c r="C28" s="137" t="s">
        <v>62</v>
      </c>
      <c r="D28" s="138" t="s">
        <v>62</v>
      </c>
      <c r="E28" s="139" t="s">
        <v>62</v>
      </c>
      <c r="F28" s="137" t="s">
        <v>62</v>
      </c>
      <c r="G28" s="138" t="s">
        <v>62</v>
      </c>
      <c r="H28" s="139" t="s">
        <v>62</v>
      </c>
      <c r="I28" s="137" t="s">
        <v>62</v>
      </c>
      <c r="J28" s="138" t="s">
        <v>62</v>
      </c>
      <c r="K28" s="139" t="s">
        <v>62</v>
      </c>
      <c r="L28" s="137">
        <v>4446</v>
      </c>
      <c r="M28" s="138">
        <v>157.0090081482</v>
      </c>
      <c r="N28" s="139">
        <v>167.61420000000001</v>
      </c>
      <c r="O28" s="137">
        <v>5493</v>
      </c>
      <c r="P28" s="138">
        <v>193.98346418310001</v>
      </c>
      <c r="Q28" s="139">
        <v>207.08609999999999</v>
      </c>
      <c r="R28" s="137">
        <v>6683</v>
      </c>
      <c r="S28" s="138">
        <v>236.00791755610001</v>
      </c>
      <c r="T28" s="140">
        <v>251.94909999999999</v>
      </c>
    </row>
    <row r="29" spans="2:20" ht="17.100000000000001" customHeight="1" x14ac:dyDescent="0.25">
      <c r="B29" s="141" t="s">
        <v>37</v>
      </c>
      <c r="C29" s="142" t="s">
        <v>62</v>
      </c>
      <c r="D29" s="143" t="s">
        <v>62</v>
      </c>
      <c r="E29" s="144" t="s">
        <v>62</v>
      </c>
      <c r="F29" s="142" t="s">
        <v>62</v>
      </c>
      <c r="G29" s="143" t="s">
        <v>62</v>
      </c>
      <c r="H29" s="144" t="s">
        <v>62</v>
      </c>
      <c r="I29" s="142" t="s">
        <v>62</v>
      </c>
      <c r="J29" s="143" t="s">
        <v>62</v>
      </c>
      <c r="K29" s="144" t="s">
        <v>62</v>
      </c>
      <c r="L29" s="142">
        <v>34.26</v>
      </c>
      <c r="M29" s="143">
        <v>1.2098804811420001</v>
      </c>
      <c r="N29" s="144">
        <v>1.2868056000000001</v>
      </c>
      <c r="O29" s="142">
        <v>37.94</v>
      </c>
      <c r="P29" s="143">
        <v>1.339838454598</v>
      </c>
      <c r="Q29" s="144">
        <v>1.4250263999999999</v>
      </c>
      <c r="R29" s="142">
        <v>41.91</v>
      </c>
      <c r="S29" s="143">
        <v>1.480037681397</v>
      </c>
      <c r="T29" s="145">
        <v>1.5741396000000001</v>
      </c>
    </row>
    <row r="30" spans="2:20" ht="17.100000000000001" customHeight="1" thickBot="1" x14ac:dyDescent="0.3">
      <c r="B30" s="146" t="s">
        <v>47</v>
      </c>
      <c r="C30" s="147">
        <v>465.41523344459301</v>
      </c>
      <c r="D30" s="148">
        <v>2927.3736546657301</v>
      </c>
      <c r="E30" s="149">
        <v>16939.152215330501</v>
      </c>
      <c r="F30" s="147">
        <v>564.35931967304396</v>
      </c>
      <c r="G30" s="148">
        <v>3549.7132140446502</v>
      </c>
      <c r="H30" s="149">
        <v>20549.955070742701</v>
      </c>
      <c r="I30" s="147">
        <v>696.84202901544995</v>
      </c>
      <c r="J30" s="148">
        <v>4383.0043595822499</v>
      </c>
      <c r="K30" s="149">
        <v>25392.597070962602</v>
      </c>
      <c r="L30" s="147">
        <v>453570.12458607001</v>
      </c>
      <c r="M30" s="148">
        <v>16017.677774834499</v>
      </c>
      <c r="N30" s="149">
        <v>16984.152546274501</v>
      </c>
      <c r="O30" s="147">
        <v>545883.35013991001</v>
      </c>
      <c r="P30" s="148">
        <v>19277.688567270299</v>
      </c>
      <c r="Q30" s="149">
        <v>20118.485420515899</v>
      </c>
      <c r="R30" s="147">
        <v>649533.00529509597</v>
      </c>
      <c r="S30" s="148">
        <v>22938.041592645601</v>
      </c>
      <c r="T30" s="150">
        <v>23816.174092944799</v>
      </c>
    </row>
  </sheetData>
  <mergeCells count="10">
    <mergeCell ref="B2:T2"/>
    <mergeCell ref="C4:K4"/>
    <mergeCell ref="L4:T4"/>
    <mergeCell ref="C5:E5"/>
    <mergeCell ref="F5:H5"/>
    <mergeCell ref="I5:K5"/>
    <mergeCell ref="L5:N5"/>
    <mergeCell ref="O5:Q5"/>
    <mergeCell ref="R5:T5"/>
    <mergeCell ref="B4:B6"/>
  </mergeCells>
  <pageMargins left="0.05" right="0.05" top="0.5" bottom="0.5" header="0" footer="0"/>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03F99"/>
    <pageSetUpPr fitToPage="1"/>
  </sheetPr>
  <dimension ref="A1:BA28"/>
  <sheetViews>
    <sheetView zoomScale="85" zoomScaleNormal="85" zoomScalePageLayoutView="85" workbookViewId="0"/>
  </sheetViews>
  <sheetFormatPr defaultColWidth="11.42578125" defaultRowHeight="12" customHeight="1" x14ac:dyDescent="0.25"/>
  <cols>
    <col min="1" max="1" width="11.42578125" style="4"/>
    <col min="2" max="2" width="38.7109375" customWidth="1"/>
    <col min="3" max="53" width="12.7109375" customWidth="1"/>
  </cols>
  <sheetData>
    <row r="1" spans="2:53" ht="15" customHeight="1" x14ac:dyDescent="0.25"/>
    <row r="2" spans="2:53" ht="21" customHeight="1" x14ac:dyDescent="0.35">
      <c r="B2" s="330" t="s">
        <v>63</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row>
    <row r="3" spans="2:53" ht="15" customHeight="1" thickBot="1" x14ac:dyDescent="0.3"/>
    <row r="4" spans="2:53" ht="17.100000000000001" customHeight="1" x14ac:dyDescent="0.25">
      <c r="B4" s="154" t="s">
        <v>7</v>
      </c>
      <c r="C4" s="155">
        <v>2025</v>
      </c>
      <c r="D4" s="156">
        <v>2026</v>
      </c>
      <c r="E4" s="156">
        <v>2027</v>
      </c>
      <c r="F4" s="156">
        <v>2028</v>
      </c>
      <c r="G4" s="156">
        <v>2029</v>
      </c>
      <c r="H4" s="156">
        <v>2030</v>
      </c>
      <c r="I4" s="156">
        <v>2031</v>
      </c>
      <c r="J4" s="156">
        <v>2032</v>
      </c>
      <c r="K4" s="156">
        <v>2033</v>
      </c>
      <c r="L4" s="156">
        <v>2034</v>
      </c>
      <c r="M4" s="156">
        <v>2035</v>
      </c>
      <c r="N4" s="156">
        <v>2036</v>
      </c>
      <c r="O4" s="156">
        <v>2037</v>
      </c>
      <c r="P4" s="156">
        <v>2038</v>
      </c>
      <c r="Q4" s="156">
        <v>2039</v>
      </c>
      <c r="R4" s="156">
        <v>2040</v>
      </c>
      <c r="S4" s="156">
        <v>2041</v>
      </c>
      <c r="T4" s="156">
        <v>2042</v>
      </c>
      <c r="U4" s="156">
        <v>2043</v>
      </c>
      <c r="V4" s="156">
        <v>2044</v>
      </c>
      <c r="W4" s="156">
        <v>2045</v>
      </c>
      <c r="X4" s="156">
        <v>2046</v>
      </c>
      <c r="Y4" s="156">
        <v>2047</v>
      </c>
      <c r="Z4" s="156">
        <v>2048</v>
      </c>
      <c r="AA4" s="156">
        <v>2049</v>
      </c>
      <c r="AB4" s="156">
        <v>2050</v>
      </c>
      <c r="AC4" s="156">
        <v>2051</v>
      </c>
      <c r="AD4" s="156">
        <v>2052</v>
      </c>
      <c r="AE4" s="156">
        <v>2053</v>
      </c>
      <c r="AF4" s="156">
        <v>2054</v>
      </c>
      <c r="AG4" s="156">
        <v>2055</v>
      </c>
      <c r="AH4" s="156">
        <v>2056</v>
      </c>
      <c r="AI4" s="156">
        <v>2057</v>
      </c>
      <c r="AJ4" s="156">
        <v>2058</v>
      </c>
      <c r="AK4" s="156">
        <v>2059</v>
      </c>
      <c r="AL4" s="163">
        <v>2060</v>
      </c>
      <c r="AM4" s="162">
        <v>2061</v>
      </c>
      <c r="AN4" s="155">
        <v>2062</v>
      </c>
      <c r="AO4" s="156">
        <v>2063</v>
      </c>
      <c r="AP4" s="156">
        <v>2064</v>
      </c>
      <c r="AQ4" s="156">
        <v>2065</v>
      </c>
      <c r="AR4" s="156">
        <v>2066</v>
      </c>
      <c r="AS4" s="156">
        <v>2067</v>
      </c>
      <c r="AT4" s="156">
        <v>2068</v>
      </c>
      <c r="AU4" s="156">
        <v>2069</v>
      </c>
      <c r="AV4" s="156">
        <v>2070</v>
      </c>
      <c r="AW4" s="156">
        <v>2071</v>
      </c>
      <c r="AX4" s="156">
        <v>2072</v>
      </c>
      <c r="AY4" s="156">
        <v>2073</v>
      </c>
      <c r="AZ4" s="156">
        <v>2074</v>
      </c>
      <c r="BA4" s="157">
        <v>2075</v>
      </c>
    </row>
    <row r="5" spans="2:53" ht="17.100000000000001" customHeight="1" x14ac:dyDescent="0.25">
      <c r="B5" s="158" t="s">
        <v>20</v>
      </c>
      <c r="C5" s="159">
        <v>6.4122959100000002E-2</v>
      </c>
      <c r="D5" s="159">
        <v>5.4996068400000001E-2</v>
      </c>
      <c r="E5" s="159">
        <v>4.7037262199999999E-2</v>
      </c>
      <c r="F5" s="159">
        <v>4.0976025499999999E-2</v>
      </c>
      <c r="G5" s="159">
        <v>6.11670629224E-3</v>
      </c>
      <c r="H5" s="159" t="s">
        <v>62</v>
      </c>
      <c r="I5" s="159" t="s">
        <v>62</v>
      </c>
      <c r="J5" s="159" t="s">
        <v>62</v>
      </c>
      <c r="K5" s="159" t="s">
        <v>62</v>
      </c>
      <c r="L5" s="159" t="s">
        <v>62</v>
      </c>
      <c r="M5" s="159" t="s">
        <v>62</v>
      </c>
      <c r="N5" s="159" t="s">
        <v>62</v>
      </c>
      <c r="O5" s="159" t="s">
        <v>62</v>
      </c>
      <c r="P5" s="159" t="s">
        <v>62</v>
      </c>
      <c r="Q5" s="159" t="s">
        <v>62</v>
      </c>
      <c r="R5" s="159" t="s">
        <v>62</v>
      </c>
      <c r="S5" s="159" t="s">
        <v>62</v>
      </c>
      <c r="T5" s="159" t="s">
        <v>62</v>
      </c>
      <c r="U5" s="160" t="s">
        <v>62</v>
      </c>
      <c r="V5" s="160" t="s">
        <v>62</v>
      </c>
      <c r="W5" s="160" t="s">
        <v>62</v>
      </c>
      <c r="X5" s="160" t="s">
        <v>62</v>
      </c>
      <c r="Y5" s="160" t="s">
        <v>62</v>
      </c>
      <c r="Z5" s="160" t="s">
        <v>62</v>
      </c>
      <c r="AA5" s="160" t="s">
        <v>62</v>
      </c>
      <c r="AB5" s="160" t="s">
        <v>62</v>
      </c>
      <c r="AC5" s="160" t="s">
        <v>62</v>
      </c>
      <c r="AD5" s="160" t="s">
        <v>62</v>
      </c>
      <c r="AE5" s="160" t="s">
        <v>62</v>
      </c>
      <c r="AF5" s="160" t="s">
        <v>62</v>
      </c>
      <c r="AG5" s="160" t="s">
        <v>62</v>
      </c>
      <c r="AH5" s="160" t="s">
        <v>62</v>
      </c>
      <c r="AI5" s="160" t="s">
        <v>62</v>
      </c>
      <c r="AJ5" s="160" t="s">
        <v>62</v>
      </c>
      <c r="AK5" s="160" t="s">
        <v>62</v>
      </c>
      <c r="AL5" s="160" t="s">
        <v>62</v>
      </c>
      <c r="AM5" s="161" t="s">
        <v>62</v>
      </c>
      <c r="AN5" s="160" t="s">
        <v>62</v>
      </c>
      <c r="AO5" s="159" t="s">
        <v>62</v>
      </c>
      <c r="AP5" s="159" t="s">
        <v>62</v>
      </c>
      <c r="AQ5" s="159" t="s">
        <v>62</v>
      </c>
      <c r="AR5" s="159" t="s">
        <v>62</v>
      </c>
      <c r="AS5" s="159" t="s">
        <v>62</v>
      </c>
      <c r="AT5" s="159" t="s">
        <v>62</v>
      </c>
      <c r="AU5" s="159" t="s">
        <v>62</v>
      </c>
      <c r="AV5" s="159" t="s">
        <v>62</v>
      </c>
      <c r="AW5" s="159" t="s">
        <v>62</v>
      </c>
      <c r="AX5" s="159" t="s">
        <v>62</v>
      </c>
      <c r="AY5" s="159" t="s">
        <v>62</v>
      </c>
      <c r="AZ5" s="159" t="s">
        <v>62</v>
      </c>
      <c r="BA5" s="168" t="s">
        <v>62</v>
      </c>
    </row>
    <row r="6" spans="2:53" ht="17.100000000000001" customHeight="1" x14ac:dyDescent="0.25">
      <c r="B6" s="164" t="s">
        <v>25</v>
      </c>
      <c r="C6" s="165">
        <v>0.28878769999999998</v>
      </c>
      <c r="D6" s="165">
        <v>0.36632789999999998</v>
      </c>
      <c r="E6" s="165">
        <v>0.3167913</v>
      </c>
      <c r="F6" s="165">
        <v>0.24252470000000001</v>
      </c>
      <c r="G6" s="165">
        <v>0.19215570000000001</v>
      </c>
      <c r="H6" s="165">
        <v>0.1598435</v>
      </c>
      <c r="I6" s="165">
        <v>0.1352073</v>
      </c>
      <c r="J6" s="165">
        <v>1.0684664199999999E-2</v>
      </c>
      <c r="K6" s="165" t="s">
        <v>62</v>
      </c>
      <c r="L6" s="165" t="s">
        <v>62</v>
      </c>
      <c r="M6" s="165" t="s">
        <v>62</v>
      </c>
      <c r="N6" s="165" t="s">
        <v>62</v>
      </c>
      <c r="O6" s="165" t="s">
        <v>62</v>
      </c>
      <c r="P6" s="165" t="s">
        <v>62</v>
      </c>
      <c r="Q6" s="166" t="s">
        <v>62</v>
      </c>
      <c r="R6" s="166" t="s">
        <v>62</v>
      </c>
      <c r="S6" s="166" t="s">
        <v>62</v>
      </c>
      <c r="T6" s="166" t="s">
        <v>62</v>
      </c>
      <c r="U6" s="166" t="s">
        <v>62</v>
      </c>
      <c r="V6" s="166" t="s">
        <v>62</v>
      </c>
      <c r="W6" s="166" t="s">
        <v>62</v>
      </c>
      <c r="X6" s="166" t="s">
        <v>62</v>
      </c>
      <c r="Y6" s="166" t="s">
        <v>62</v>
      </c>
      <c r="Z6" s="166" t="s">
        <v>62</v>
      </c>
      <c r="AA6" s="166" t="s">
        <v>62</v>
      </c>
      <c r="AB6" s="166" t="s">
        <v>62</v>
      </c>
      <c r="AC6" s="166" t="s">
        <v>62</v>
      </c>
      <c r="AD6" s="166" t="s">
        <v>62</v>
      </c>
      <c r="AE6" s="166" t="s">
        <v>62</v>
      </c>
      <c r="AF6" s="166" t="s">
        <v>62</v>
      </c>
      <c r="AG6" s="166" t="s">
        <v>62</v>
      </c>
      <c r="AH6" s="166" t="s">
        <v>62</v>
      </c>
      <c r="AI6" s="166" t="s">
        <v>62</v>
      </c>
      <c r="AJ6" s="166" t="s">
        <v>62</v>
      </c>
      <c r="AK6" s="166" t="s">
        <v>62</v>
      </c>
      <c r="AL6" s="166" t="s">
        <v>62</v>
      </c>
      <c r="AM6" s="167" t="s">
        <v>62</v>
      </c>
      <c r="AN6" s="166" t="s">
        <v>62</v>
      </c>
      <c r="AO6" s="165" t="s">
        <v>62</v>
      </c>
      <c r="AP6" s="165" t="s">
        <v>62</v>
      </c>
      <c r="AQ6" s="165" t="s">
        <v>62</v>
      </c>
      <c r="AR6" s="165" t="s">
        <v>62</v>
      </c>
      <c r="AS6" s="165" t="s">
        <v>62</v>
      </c>
      <c r="AT6" s="165" t="s">
        <v>62</v>
      </c>
      <c r="AU6" s="165" t="s">
        <v>62</v>
      </c>
      <c r="AV6" s="165" t="s">
        <v>62</v>
      </c>
      <c r="AW6" s="165" t="s">
        <v>62</v>
      </c>
      <c r="AX6" s="165" t="s">
        <v>62</v>
      </c>
      <c r="AY6" s="165" t="s">
        <v>62</v>
      </c>
      <c r="AZ6" s="165" t="s">
        <v>62</v>
      </c>
      <c r="BA6" s="169" t="s">
        <v>62</v>
      </c>
    </row>
    <row r="7" spans="2:53" ht="17.100000000000001" customHeight="1" x14ac:dyDescent="0.25">
      <c r="B7" s="164" t="s">
        <v>17</v>
      </c>
      <c r="C7" s="165">
        <v>2.52E-2</v>
      </c>
      <c r="D7" s="165">
        <v>2.6749999999999999E-2</v>
      </c>
      <c r="E7" s="165">
        <v>1.8378909999999998E-2</v>
      </c>
      <c r="F7" s="165">
        <v>1.50461E-2</v>
      </c>
      <c r="G7" s="165">
        <v>1.3060820000000001E-2</v>
      </c>
      <c r="H7" s="165">
        <v>1.163807E-2</v>
      </c>
      <c r="I7" s="165">
        <v>1.042481E-2</v>
      </c>
      <c r="J7" s="165">
        <v>9.4000000000000004E-3</v>
      </c>
      <c r="K7" s="165">
        <v>8.5000000000000006E-3</v>
      </c>
      <c r="L7" s="165">
        <v>7.7000000000000002E-3</v>
      </c>
      <c r="M7" s="165">
        <v>7.0000000000000001E-3</v>
      </c>
      <c r="N7" s="165">
        <v>6.4000000000000003E-3</v>
      </c>
      <c r="O7" s="165">
        <v>5.8999999999999999E-3</v>
      </c>
      <c r="P7" s="165">
        <v>5.4000000000000003E-3</v>
      </c>
      <c r="Q7" s="166">
        <v>2.8E-3</v>
      </c>
      <c r="R7" s="166" t="s">
        <v>62</v>
      </c>
      <c r="S7" s="166" t="s">
        <v>62</v>
      </c>
      <c r="T7" s="166" t="s">
        <v>62</v>
      </c>
      <c r="U7" s="166" t="s">
        <v>62</v>
      </c>
      <c r="V7" s="166" t="s">
        <v>62</v>
      </c>
      <c r="W7" s="166" t="s">
        <v>62</v>
      </c>
      <c r="X7" s="166" t="s">
        <v>62</v>
      </c>
      <c r="Y7" s="166" t="s">
        <v>62</v>
      </c>
      <c r="Z7" s="166" t="s">
        <v>62</v>
      </c>
      <c r="AA7" s="166" t="s">
        <v>62</v>
      </c>
      <c r="AB7" s="166" t="s">
        <v>62</v>
      </c>
      <c r="AC7" s="166" t="s">
        <v>62</v>
      </c>
      <c r="AD7" s="166" t="s">
        <v>62</v>
      </c>
      <c r="AE7" s="166" t="s">
        <v>62</v>
      </c>
      <c r="AF7" s="166" t="s">
        <v>62</v>
      </c>
      <c r="AG7" s="166" t="s">
        <v>62</v>
      </c>
      <c r="AH7" s="166" t="s">
        <v>62</v>
      </c>
      <c r="AI7" s="166" t="s">
        <v>62</v>
      </c>
      <c r="AJ7" s="166" t="s">
        <v>62</v>
      </c>
      <c r="AK7" s="166" t="s">
        <v>62</v>
      </c>
      <c r="AL7" s="166" t="s">
        <v>62</v>
      </c>
      <c r="AM7" s="167" t="s">
        <v>62</v>
      </c>
      <c r="AN7" s="166" t="s">
        <v>62</v>
      </c>
      <c r="AO7" s="165" t="s">
        <v>62</v>
      </c>
      <c r="AP7" s="165" t="s">
        <v>62</v>
      </c>
      <c r="AQ7" s="165" t="s">
        <v>62</v>
      </c>
      <c r="AR7" s="165" t="s">
        <v>62</v>
      </c>
      <c r="AS7" s="165" t="s">
        <v>62</v>
      </c>
      <c r="AT7" s="165" t="s">
        <v>62</v>
      </c>
      <c r="AU7" s="165" t="s">
        <v>62</v>
      </c>
      <c r="AV7" s="165" t="s">
        <v>62</v>
      </c>
      <c r="AW7" s="165" t="s">
        <v>62</v>
      </c>
      <c r="AX7" s="165" t="s">
        <v>62</v>
      </c>
      <c r="AY7" s="165" t="s">
        <v>62</v>
      </c>
      <c r="AZ7" s="165" t="s">
        <v>62</v>
      </c>
      <c r="BA7" s="169" t="s">
        <v>62</v>
      </c>
    </row>
    <row r="8" spans="2:53" ht="17.100000000000001" customHeight="1" x14ac:dyDescent="0.25">
      <c r="B8" s="164" t="s">
        <v>32</v>
      </c>
      <c r="C8" s="165">
        <v>0.27838639999999998</v>
      </c>
      <c r="D8" s="165">
        <v>0.244783</v>
      </c>
      <c r="E8" s="165">
        <v>0.24663009999999999</v>
      </c>
      <c r="F8" s="165">
        <v>0.20194619999999999</v>
      </c>
      <c r="G8" s="165">
        <v>0.17068410000000001</v>
      </c>
      <c r="H8" s="165">
        <v>0.14826829999999999</v>
      </c>
      <c r="I8" s="165">
        <v>0.12516910000000001</v>
      </c>
      <c r="J8" s="165">
        <v>0.10857849999999999</v>
      </c>
      <c r="K8" s="165">
        <v>8.8408337099999998E-2</v>
      </c>
      <c r="L8" s="165">
        <v>7.7593315499999996E-2</v>
      </c>
      <c r="M8" s="165">
        <v>6.4412116399999997E-2</v>
      </c>
      <c r="N8" s="165">
        <v>5.6101035600000002E-2</v>
      </c>
      <c r="O8" s="165">
        <v>4.3075621500000001E-2</v>
      </c>
      <c r="P8" s="165">
        <v>3.5756690299999998E-2</v>
      </c>
      <c r="Q8" s="166" t="s">
        <v>62</v>
      </c>
      <c r="R8" s="166" t="s">
        <v>62</v>
      </c>
      <c r="S8" s="166" t="s">
        <v>62</v>
      </c>
      <c r="T8" s="166" t="s">
        <v>62</v>
      </c>
      <c r="U8" s="166" t="s">
        <v>62</v>
      </c>
      <c r="V8" s="166" t="s">
        <v>62</v>
      </c>
      <c r="W8" s="166" t="s">
        <v>62</v>
      </c>
      <c r="X8" s="166" t="s">
        <v>62</v>
      </c>
      <c r="Y8" s="166" t="s">
        <v>62</v>
      </c>
      <c r="Z8" s="166" t="s">
        <v>62</v>
      </c>
      <c r="AA8" s="166" t="s">
        <v>62</v>
      </c>
      <c r="AB8" s="166" t="s">
        <v>62</v>
      </c>
      <c r="AC8" s="166" t="s">
        <v>62</v>
      </c>
      <c r="AD8" s="166" t="s">
        <v>62</v>
      </c>
      <c r="AE8" s="166" t="s">
        <v>62</v>
      </c>
      <c r="AF8" s="166" t="s">
        <v>62</v>
      </c>
      <c r="AG8" s="166" t="s">
        <v>62</v>
      </c>
      <c r="AH8" s="166" t="s">
        <v>62</v>
      </c>
      <c r="AI8" s="166" t="s">
        <v>62</v>
      </c>
      <c r="AJ8" s="166" t="s">
        <v>62</v>
      </c>
      <c r="AK8" s="166" t="s">
        <v>62</v>
      </c>
      <c r="AL8" s="166" t="s">
        <v>62</v>
      </c>
      <c r="AM8" s="167" t="s">
        <v>62</v>
      </c>
      <c r="AN8" s="166" t="s">
        <v>62</v>
      </c>
      <c r="AO8" s="165" t="s">
        <v>62</v>
      </c>
      <c r="AP8" s="165" t="s">
        <v>62</v>
      </c>
      <c r="AQ8" s="165" t="s">
        <v>62</v>
      </c>
      <c r="AR8" s="165" t="s">
        <v>62</v>
      </c>
      <c r="AS8" s="165" t="s">
        <v>62</v>
      </c>
      <c r="AT8" s="165" t="s">
        <v>62</v>
      </c>
      <c r="AU8" s="165" t="s">
        <v>62</v>
      </c>
      <c r="AV8" s="165" t="s">
        <v>62</v>
      </c>
      <c r="AW8" s="165" t="s">
        <v>62</v>
      </c>
      <c r="AX8" s="165" t="s">
        <v>62</v>
      </c>
      <c r="AY8" s="165" t="s">
        <v>62</v>
      </c>
      <c r="AZ8" s="165" t="s">
        <v>62</v>
      </c>
      <c r="BA8" s="169" t="s">
        <v>62</v>
      </c>
    </row>
    <row r="9" spans="2:53" ht="17.100000000000001" customHeight="1" x14ac:dyDescent="0.25">
      <c r="B9" s="164" t="s">
        <v>21</v>
      </c>
      <c r="C9" s="165">
        <v>1.1349E-2</v>
      </c>
      <c r="D9" s="165">
        <v>1.1364000000000001E-2</v>
      </c>
      <c r="E9" s="165">
        <v>1.1398E-2</v>
      </c>
      <c r="F9" s="165">
        <v>1.1467E-2</v>
      </c>
      <c r="G9" s="165">
        <v>1.1468000000000001E-2</v>
      </c>
      <c r="H9" s="165">
        <v>1.1492E-2</v>
      </c>
      <c r="I9" s="165">
        <v>1.1524E-2</v>
      </c>
      <c r="J9" s="165">
        <v>1.1596E-2</v>
      </c>
      <c r="K9" s="165">
        <v>1.1613E-2</v>
      </c>
      <c r="L9" s="165">
        <v>1.1665999999999999E-2</v>
      </c>
      <c r="M9" s="165">
        <v>1.172E-2</v>
      </c>
      <c r="N9" s="165" t="s">
        <v>62</v>
      </c>
      <c r="O9" s="165" t="s">
        <v>62</v>
      </c>
      <c r="P9" s="165" t="s">
        <v>62</v>
      </c>
      <c r="Q9" s="166" t="s">
        <v>62</v>
      </c>
      <c r="R9" s="166" t="s">
        <v>62</v>
      </c>
      <c r="S9" s="166" t="s">
        <v>62</v>
      </c>
      <c r="T9" s="166" t="s">
        <v>62</v>
      </c>
      <c r="U9" s="166" t="s">
        <v>62</v>
      </c>
      <c r="V9" s="166" t="s">
        <v>62</v>
      </c>
      <c r="W9" s="166" t="s">
        <v>62</v>
      </c>
      <c r="X9" s="166" t="s">
        <v>62</v>
      </c>
      <c r="Y9" s="166" t="s">
        <v>62</v>
      </c>
      <c r="Z9" s="166" t="s">
        <v>62</v>
      </c>
      <c r="AA9" s="166" t="s">
        <v>62</v>
      </c>
      <c r="AB9" s="166" t="s">
        <v>62</v>
      </c>
      <c r="AC9" s="166" t="s">
        <v>62</v>
      </c>
      <c r="AD9" s="166" t="s">
        <v>62</v>
      </c>
      <c r="AE9" s="166" t="s">
        <v>62</v>
      </c>
      <c r="AF9" s="166" t="s">
        <v>62</v>
      </c>
      <c r="AG9" s="166" t="s">
        <v>62</v>
      </c>
      <c r="AH9" s="166" t="s">
        <v>62</v>
      </c>
      <c r="AI9" s="166" t="s">
        <v>62</v>
      </c>
      <c r="AJ9" s="166" t="s">
        <v>62</v>
      </c>
      <c r="AK9" s="166" t="s">
        <v>62</v>
      </c>
      <c r="AL9" s="166" t="s">
        <v>62</v>
      </c>
      <c r="AM9" s="167" t="s">
        <v>62</v>
      </c>
      <c r="AN9" s="166" t="s">
        <v>62</v>
      </c>
      <c r="AO9" s="165" t="s">
        <v>62</v>
      </c>
      <c r="AP9" s="165" t="s">
        <v>62</v>
      </c>
      <c r="AQ9" s="165" t="s">
        <v>62</v>
      </c>
      <c r="AR9" s="165" t="s">
        <v>62</v>
      </c>
      <c r="AS9" s="165" t="s">
        <v>62</v>
      </c>
      <c r="AT9" s="165" t="s">
        <v>62</v>
      </c>
      <c r="AU9" s="165" t="s">
        <v>62</v>
      </c>
      <c r="AV9" s="165" t="s">
        <v>62</v>
      </c>
      <c r="AW9" s="165" t="s">
        <v>62</v>
      </c>
      <c r="AX9" s="165" t="s">
        <v>62</v>
      </c>
      <c r="AY9" s="165" t="s">
        <v>62</v>
      </c>
      <c r="AZ9" s="165" t="s">
        <v>62</v>
      </c>
      <c r="BA9" s="169" t="s">
        <v>62</v>
      </c>
    </row>
    <row r="10" spans="2:53" ht="17.100000000000001" customHeight="1" x14ac:dyDescent="0.25">
      <c r="B10" s="164" t="s">
        <v>23</v>
      </c>
      <c r="C10" s="165">
        <v>5.7741019999999995E-4</v>
      </c>
      <c r="D10" s="165">
        <v>6.7338729E-3</v>
      </c>
      <c r="E10" s="165">
        <v>2.3602893100000001E-2</v>
      </c>
      <c r="F10" s="165">
        <v>2.1408531420419999E-2</v>
      </c>
      <c r="G10" s="165">
        <v>1.9390072299999998E-2</v>
      </c>
      <c r="H10" s="165">
        <v>1.7677808900000001E-2</v>
      </c>
      <c r="I10" s="165">
        <v>1.617206057215E-2</v>
      </c>
      <c r="J10" s="165">
        <v>1.488065783488E-2</v>
      </c>
      <c r="K10" s="165">
        <v>1.3658059536550001E-2</v>
      </c>
      <c r="L10" s="165">
        <v>1.26064948E-2</v>
      </c>
      <c r="M10" s="165">
        <v>1.1665986600000001E-2</v>
      </c>
      <c r="N10" s="165">
        <v>1.08503921E-2</v>
      </c>
      <c r="O10" s="165">
        <v>1.005963879234E-2</v>
      </c>
      <c r="P10" s="165">
        <v>9.3730879000000003E-3</v>
      </c>
      <c r="Q10" s="166">
        <v>8.7510574999999993E-3</v>
      </c>
      <c r="R10" s="166">
        <v>8.2076189999999993E-3</v>
      </c>
      <c r="S10" s="166">
        <v>7.6697807999999996E-3</v>
      </c>
      <c r="T10" s="166">
        <v>7.1400548999999997E-3</v>
      </c>
      <c r="U10" s="166">
        <v>6.6982702000000002E-3</v>
      </c>
      <c r="V10" s="166">
        <v>6.3248536628899999E-3</v>
      </c>
      <c r="W10" s="166">
        <v>5.9483762000000001E-3</v>
      </c>
      <c r="X10" s="166">
        <v>5.6179296E-3</v>
      </c>
      <c r="Y10" s="166">
        <v>5.3129081999999999E-3</v>
      </c>
      <c r="Z10" s="166">
        <v>5.0442558000000004E-3</v>
      </c>
      <c r="AA10" s="166">
        <v>4.7688545999999997E-3</v>
      </c>
      <c r="AB10" s="166">
        <v>4.5264433000000003E-3</v>
      </c>
      <c r="AC10" s="166">
        <v>4.3011458424200002E-3</v>
      </c>
      <c r="AD10" s="166">
        <v>4.1023673749300002E-3</v>
      </c>
      <c r="AE10" s="166">
        <v>2.6143107000000001E-3</v>
      </c>
      <c r="AF10" s="166" t="s">
        <v>62</v>
      </c>
      <c r="AG10" s="166" t="s">
        <v>62</v>
      </c>
      <c r="AH10" s="166" t="s">
        <v>62</v>
      </c>
      <c r="AI10" s="166" t="s">
        <v>62</v>
      </c>
      <c r="AJ10" s="166" t="s">
        <v>62</v>
      </c>
      <c r="AK10" s="166" t="s">
        <v>62</v>
      </c>
      <c r="AL10" s="166" t="s">
        <v>62</v>
      </c>
      <c r="AM10" s="167" t="s">
        <v>62</v>
      </c>
      <c r="AN10" s="166" t="s">
        <v>62</v>
      </c>
      <c r="AO10" s="165" t="s">
        <v>62</v>
      </c>
      <c r="AP10" s="165" t="s">
        <v>62</v>
      </c>
      <c r="AQ10" s="165" t="s">
        <v>62</v>
      </c>
      <c r="AR10" s="165" t="s">
        <v>62</v>
      </c>
      <c r="AS10" s="165" t="s">
        <v>62</v>
      </c>
      <c r="AT10" s="165" t="s">
        <v>62</v>
      </c>
      <c r="AU10" s="165" t="s">
        <v>62</v>
      </c>
      <c r="AV10" s="165" t="s">
        <v>62</v>
      </c>
      <c r="AW10" s="165" t="s">
        <v>62</v>
      </c>
      <c r="AX10" s="165" t="s">
        <v>62</v>
      </c>
      <c r="AY10" s="165" t="s">
        <v>62</v>
      </c>
      <c r="AZ10" s="165" t="s">
        <v>62</v>
      </c>
      <c r="BA10" s="169" t="s">
        <v>62</v>
      </c>
    </row>
    <row r="11" spans="2:53" ht="17.100000000000001" customHeight="1" x14ac:dyDescent="0.25">
      <c r="B11" s="164" t="s">
        <v>27</v>
      </c>
      <c r="C11" s="165">
        <v>0.314</v>
      </c>
      <c r="D11" s="165">
        <v>0.30099999999999999</v>
      </c>
      <c r="E11" s="165">
        <v>0.23799999999999999</v>
      </c>
      <c r="F11" s="165">
        <v>0.189</v>
      </c>
      <c r="G11" s="165">
        <v>0.182</v>
      </c>
      <c r="H11" s="165">
        <v>0.161</v>
      </c>
      <c r="I11" s="165">
        <v>0.14399999999999999</v>
      </c>
      <c r="J11" s="165">
        <v>0.11899999999999999</v>
      </c>
      <c r="K11" s="165">
        <v>0.11700000000000001</v>
      </c>
      <c r="L11" s="165">
        <v>0.104</v>
      </c>
      <c r="M11" s="165">
        <v>1.7000000000000001E-2</v>
      </c>
      <c r="N11" s="165" t="s">
        <v>62</v>
      </c>
      <c r="O11" s="165" t="s">
        <v>62</v>
      </c>
      <c r="P11" s="165" t="s">
        <v>62</v>
      </c>
      <c r="Q11" s="166" t="s">
        <v>62</v>
      </c>
      <c r="R11" s="166" t="s">
        <v>62</v>
      </c>
      <c r="S11" s="166" t="s">
        <v>62</v>
      </c>
      <c r="T11" s="166" t="s">
        <v>62</v>
      </c>
      <c r="U11" s="166" t="s">
        <v>62</v>
      </c>
      <c r="V11" s="166" t="s">
        <v>62</v>
      </c>
      <c r="W11" s="166" t="s">
        <v>62</v>
      </c>
      <c r="X11" s="166" t="s">
        <v>62</v>
      </c>
      <c r="Y11" s="166" t="s">
        <v>62</v>
      </c>
      <c r="Z11" s="166" t="s">
        <v>62</v>
      </c>
      <c r="AA11" s="166" t="s">
        <v>62</v>
      </c>
      <c r="AB11" s="166" t="s">
        <v>62</v>
      </c>
      <c r="AC11" s="166" t="s">
        <v>62</v>
      </c>
      <c r="AD11" s="166" t="s">
        <v>62</v>
      </c>
      <c r="AE11" s="166" t="s">
        <v>62</v>
      </c>
      <c r="AF11" s="166" t="s">
        <v>62</v>
      </c>
      <c r="AG11" s="166" t="s">
        <v>62</v>
      </c>
      <c r="AH11" s="166" t="s">
        <v>62</v>
      </c>
      <c r="AI11" s="166" t="s">
        <v>62</v>
      </c>
      <c r="AJ11" s="166" t="s">
        <v>62</v>
      </c>
      <c r="AK11" s="166" t="s">
        <v>62</v>
      </c>
      <c r="AL11" s="166" t="s">
        <v>62</v>
      </c>
      <c r="AM11" s="167" t="s">
        <v>62</v>
      </c>
      <c r="AN11" s="166" t="s">
        <v>62</v>
      </c>
      <c r="AO11" s="165" t="s">
        <v>62</v>
      </c>
      <c r="AP11" s="165" t="s">
        <v>62</v>
      </c>
      <c r="AQ11" s="165" t="s">
        <v>62</v>
      </c>
      <c r="AR11" s="165" t="s">
        <v>62</v>
      </c>
      <c r="AS11" s="165" t="s">
        <v>62</v>
      </c>
      <c r="AT11" s="165" t="s">
        <v>62</v>
      </c>
      <c r="AU11" s="165" t="s">
        <v>62</v>
      </c>
      <c r="AV11" s="165" t="s">
        <v>62</v>
      </c>
      <c r="AW11" s="165" t="s">
        <v>62</v>
      </c>
      <c r="AX11" s="165" t="s">
        <v>62</v>
      </c>
      <c r="AY11" s="165" t="s">
        <v>62</v>
      </c>
      <c r="AZ11" s="165" t="s">
        <v>62</v>
      </c>
      <c r="BA11" s="169" t="s">
        <v>62</v>
      </c>
    </row>
    <row r="12" spans="2:53" ht="17.100000000000001" customHeight="1" x14ac:dyDescent="0.25">
      <c r="B12" s="164" t="s">
        <v>30</v>
      </c>
      <c r="C12" s="165">
        <v>1.5536962999999999</v>
      </c>
      <c r="D12" s="165">
        <v>1.4073251</v>
      </c>
      <c r="E12" s="165">
        <v>1.2221257999999999</v>
      </c>
      <c r="F12" s="165">
        <v>1.1085058999999999</v>
      </c>
      <c r="G12" s="165">
        <v>0.97670000000000001</v>
      </c>
      <c r="H12" s="165">
        <v>0.89643430000000002</v>
      </c>
      <c r="I12" s="165">
        <v>0.80194829999999995</v>
      </c>
      <c r="J12" s="165" t="s">
        <v>62</v>
      </c>
      <c r="K12" s="165" t="s">
        <v>62</v>
      </c>
      <c r="L12" s="165" t="s">
        <v>62</v>
      </c>
      <c r="M12" s="165" t="s">
        <v>62</v>
      </c>
      <c r="N12" s="165" t="s">
        <v>62</v>
      </c>
      <c r="O12" s="165" t="s">
        <v>62</v>
      </c>
      <c r="P12" s="165" t="s">
        <v>62</v>
      </c>
      <c r="Q12" s="166" t="s">
        <v>62</v>
      </c>
      <c r="R12" s="166" t="s">
        <v>62</v>
      </c>
      <c r="S12" s="166" t="s">
        <v>62</v>
      </c>
      <c r="T12" s="166" t="s">
        <v>62</v>
      </c>
      <c r="U12" s="166" t="s">
        <v>62</v>
      </c>
      <c r="V12" s="166" t="s">
        <v>62</v>
      </c>
      <c r="W12" s="166" t="s">
        <v>62</v>
      </c>
      <c r="X12" s="166" t="s">
        <v>62</v>
      </c>
      <c r="Y12" s="166" t="s">
        <v>62</v>
      </c>
      <c r="Z12" s="166" t="s">
        <v>62</v>
      </c>
      <c r="AA12" s="166" t="s">
        <v>62</v>
      </c>
      <c r="AB12" s="166" t="s">
        <v>62</v>
      </c>
      <c r="AC12" s="166" t="s">
        <v>62</v>
      </c>
      <c r="AD12" s="166" t="s">
        <v>62</v>
      </c>
      <c r="AE12" s="166" t="s">
        <v>62</v>
      </c>
      <c r="AF12" s="166" t="s">
        <v>62</v>
      </c>
      <c r="AG12" s="166" t="s">
        <v>62</v>
      </c>
      <c r="AH12" s="166" t="s">
        <v>62</v>
      </c>
      <c r="AI12" s="166" t="s">
        <v>62</v>
      </c>
      <c r="AJ12" s="166" t="s">
        <v>62</v>
      </c>
      <c r="AK12" s="166" t="s">
        <v>62</v>
      </c>
      <c r="AL12" s="166" t="s">
        <v>62</v>
      </c>
      <c r="AM12" s="167" t="s">
        <v>62</v>
      </c>
      <c r="AN12" s="166" t="s">
        <v>62</v>
      </c>
      <c r="AO12" s="165" t="s">
        <v>62</v>
      </c>
      <c r="AP12" s="165" t="s">
        <v>62</v>
      </c>
      <c r="AQ12" s="165" t="s">
        <v>62</v>
      </c>
      <c r="AR12" s="165" t="s">
        <v>62</v>
      </c>
      <c r="AS12" s="165" t="s">
        <v>62</v>
      </c>
      <c r="AT12" s="165" t="s">
        <v>62</v>
      </c>
      <c r="AU12" s="165" t="s">
        <v>62</v>
      </c>
      <c r="AV12" s="165" t="s">
        <v>62</v>
      </c>
      <c r="AW12" s="165" t="s">
        <v>62</v>
      </c>
      <c r="AX12" s="165" t="s">
        <v>62</v>
      </c>
      <c r="AY12" s="165" t="s">
        <v>62</v>
      </c>
      <c r="AZ12" s="165" t="s">
        <v>62</v>
      </c>
      <c r="BA12" s="169" t="s">
        <v>62</v>
      </c>
    </row>
    <row r="13" spans="2:53" ht="17.100000000000001" customHeight="1" x14ac:dyDescent="0.25">
      <c r="B13" s="164" t="s">
        <v>26</v>
      </c>
      <c r="C13" s="165">
        <v>0.38</v>
      </c>
      <c r="D13" s="165">
        <v>0.37</v>
      </c>
      <c r="E13" s="165">
        <v>0.3</v>
      </c>
      <c r="F13" s="165">
        <v>0.27</v>
      </c>
      <c r="G13" s="165">
        <v>0.2</v>
      </c>
      <c r="H13" s="165">
        <v>0.14000000000000001</v>
      </c>
      <c r="I13" s="165">
        <v>0.09</v>
      </c>
      <c r="J13" s="165">
        <v>0.06</v>
      </c>
      <c r="K13" s="165">
        <v>0.05</v>
      </c>
      <c r="L13" s="165">
        <v>0.03</v>
      </c>
      <c r="M13" s="165">
        <v>0.02</v>
      </c>
      <c r="N13" s="165">
        <v>0.02</v>
      </c>
      <c r="O13" s="165">
        <v>0.01</v>
      </c>
      <c r="P13" s="165" t="s">
        <v>62</v>
      </c>
      <c r="Q13" s="166" t="s">
        <v>62</v>
      </c>
      <c r="R13" s="166" t="s">
        <v>62</v>
      </c>
      <c r="S13" s="166" t="s">
        <v>62</v>
      </c>
      <c r="T13" s="166" t="s">
        <v>62</v>
      </c>
      <c r="U13" s="166" t="s">
        <v>62</v>
      </c>
      <c r="V13" s="166" t="s">
        <v>62</v>
      </c>
      <c r="W13" s="166" t="s">
        <v>62</v>
      </c>
      <c r="X13" s="166" t="s">
        <v>62</v>
      </c>
      <c r="Y13" s="166" t="s">
        <v>62</v>
      </c>
      <c r="Z13" s="166" t="s">
        <v>62</v>
      </c>
      <c r="AA13" s="166" t="s">
        <v>62</v>
      </c>
      <c r="AB13" s="166" t="s">
        <v>62</v>
      </c>
      <c r="AC13" s="166" t="s">
        <v>62</v>
      </c>
      <c r="AD13" s="166" t="s">
        <v>62</v>
      </c>
      <c r="AE13" s="166" t="s">
        <v>62</v>
      </c>
      <c r="AF13" s="166" t="s">
        <v>62</v>
      </c>
      <c r="AG13" s="166" t="s">
        <v>62</v>
      </c>
      <c r="AH13" s="166" t="s">
        <v>62</v>
      </c>
      <c r="AI13" s="166" t="s">
        <v>62</v>
      </c>
      <c r="AJ13" s="166" t="s">
        <v>62</v>
      </c>
      <c r="AK13" s="166" t="s">
        <v>62</v>
      </c>
      <c r="AL13" s="166" t="s">
        <v>62</v>
      </c>
      <c r="AM13" s="167" t="s">
        <v>62</v>
      </c>
      <c r="AN13" s="166" t="s">
        <v>62</v>
      </c>
      <c r="AO13" s="165" t="s">
        <v>62</v>
      </c>
      <c r="AP13" s="165" t="s">
        <v>62</v>
      </c>
      <c r="AQ13" s="165" t="s">
        <v>62</v>
      </c>
      <c r="AR13" s="165" t="s">
        <v>62</v>
      </c>
      <c r="AS13" s="165" t="s">
        <v>62</v>
      </c>
      <c r="AT13" s="165" t="s">
        <v>62</v>
      </c>
      <c r="AU13" s="165" t="s">
        <v>62</v>
      </c>
      <c r="AV13" s="165" t="s">
        <v>62</v>
      </c>
      <c r="AW13" s="165" t="s">
        <v>62</v>
      </c>
      <c r="AX13" s="165" t="s">
        <v>62</v>
      </c>
      <c r="AY13" s="165" t="s">
        <v>62</v>
      </c>
      <c r="AZ13" s="165" t="s">
        <v>62</v>
      </c>
      <c r="BA13" s="169" t="s">
        <v>62</v>
      </c>
    </row>
    <row r="14" spans="2:53" ht="17.100000000000001" customHeight="1" x14ac:dyDescent="0.25">
      <c r="B14" s="164" t="s">
        <v>33</v>
      </c>
      <c r="C14" s="165">
        <v>0.54976429999999998</v>
      </c>
      <c r="D14" s="165">
        <v>0.39113789999999998</v>
      </c>
      <c r="E14" s="165">
        <v>0.2913538</v>
      </c>
      <c r="F14" s="165" t="s">
        <v>62</v>
      </c>
      <c r="G14" s="165" t="s">
        <v>62</v>
      </c>
      <c r="H14" s="165" t="s">
        <v>62</v>
      </c>
      <c r="I14" s="165" t="s">
        <v>62</v>
      </c>
      <c r="J14" s="165" t="s">
        <v>62</v>
      </c>
      <c r="K14" s="165" t="s">
        <v>62</v>
      </c>
      <c r="L14" s="165" t="s">
        <v>62</v>
      </c>
      <c r="M14" s="165" t="s">
        <v>62</v>
      </c>
      <c r="N14" s="165" t="s">
        <v>62</v>
      </c>
      <c r="O14" s="165" t="s">
        <v>62</v>
      </c>
      <c r="P14" s="165" t="s">
        <v>62</v>
      </c>
      <c r="Q14" s="166" t="s">
        <v>62</v>
      </c>
      <c r="R14" s="166" t="s">
        <v>62</v>
      </c>
      <c r="S14" s="166" t="s">
        <v>62</v>
      </c>
      <c r="T14" s="166" t="s">
        <v>62</v>
      </c>
      <c r="U14" s="166" t="s">
        <v>62</v>
      </c>
      <c r="V14" s="166" t="s">
        <v>62</v>
      </c>
      <c r="W14" s="166" t="s">
        <v>62</v>
      </c>
      <c r="X14" s="166" t="s">
        <v>62</v>
      </c>
      <c r="Y14" s="166" t="s">
        <v>62</v>
      </c>
      <c r="Z14" s="166" t="s">
        <v>62</v>
      </c>
      <c r="AA14" s="166" t="s">
        <v>62</v>
      </c>
      <c r="AB14" s="166" t="s">
        <v>62</v>
      </c>
      <c r="AC14" s="166" t="s">
        <v>62</v>
      </c>
      <c r="AD14" s="166" t="s">
        <v>62</v>
      </c>
      <c r="AE14" s="166" t="s">
        <v>62</v>
      </c>
      <c r="AF14" s="166" t="s">
        <v>62</v>
      </c>
      <c r="AG14" s="166" t="s">
        <v>62</v>
      </c>
      <c r="AH14" s="166" t="s">
        <v>62</v>
      </c>
      <c r="AI14" s="166" t="s">
        <v>62</v>
      </c>
      <c r="AJ14" s="166" t="s">
        <v>62</v>
      </c>
      <c r="AK14" s="166" t="s">
        <v>62</v>
      </c>
      <c r="AL14" s="166" t="s">
        <v>62</v>
      </c>
      <c r="AM14" s="167" t="s">
        <v>62</v>
      </c>
      <c r="AN14" s="166" t="s">
        <v>62</v>
      </c>
      <c r="AO14" s="165" t="s">
        <v>62</v>
      </c>
      <c r="AP14" s="165" t="s">
        <v>62</v>
      </c>
      <c r="AQ14" s="165" t="s">
        <v>62</v>
      </c>
      <c r="AR14" s="165" t="s">
        <v>62</v>
      </c>
      <c r="AS14" s="165" t="s">
        <v>62</v>
      </c>
      <c r="AT14" s="165" t="s">
        <v>62</v>
      </c>
      <c r="AU14" s="165" t="s">
        <v>62</v>
      </c>
      <c r="AV14" s="165" t="s">
        <v>62</v>
      </c>
      <c r="AW14" s="165" t="s">
        <v>62</v>
      </c>
      <c r="AX14" s="165" t="s">
        <v>62</v>
      </c>
      <c r="AY14" s="165" t="s">
        <v>62</v>
      </c>
      <c r="AZ14" s="165" t="s">
        <v>62</v>
      </c>
      <c r="BA14" s="169" t="s">
        <v>62</v>
      </c>
    </row>
    <row r="15" spans="2:53" ht="17.100000000000001" customHeight="1" x14ac:dyDescent="0.25">
      <c r="B15" s="164" t="s">
        <v>29</v>
      </c>
      <c r="C15" s="165">
        <v>5.9922035000000004E-3</v>
      </c>
      <c r="D15" s="165">
        <v>4.5959772000000003E-3</v>
      </c>
      <c r="E15" s="165">
        <v>3.6368231E-3</v>
      </c>
      <c r="F15" s="165">
        <v>2.9582520000000002E-3</v>
      </c>
      <c r="G15" s="165">
        <v>2.4402777E-3</v>
      </c>
      <c r="H15" s="165">
        <v>2.0524190000000002E-3</v>
      </c>
      <c r="I15" s="165">
        <v>1.6116217E-3</v>
      </c>
      <c r="J15" s="165" t="s">
        <v>62</v>
      </c>
      <c r="K15" s="165" t="s">
        <v>62</v>
      </c>
      <c r="L15" s="165" t="s">
        <v>62</v>
      </c>
      <c r="M15" s="165" t="s">
        <v>62</v>
      </c>
      <c r="N15" s="165" t="s">
        <v>62</v>
      </c>
      <c r="O15" s="165" t="s">
        <v>62</v>
      </c>
      <c r="P15" s="165" t="s">
        <v>62</v>
      </c>
      <c r="Q15" s="166" t="s">
        <v>62</v>
      </c>
      <c r="R15" s="166" t="s">
        <v>62</v>
      </c>
      <c r="S15" s="166" t="s">
        <v>62</v>
      </c>
      <c r="T15" s="166" t="s">
        <v>62</v>
      </c>
      <c r="U15" s="166" t="s">
        <v>62</v>
      </c>
      <c r="V15" s="166" t="s">
        <v>62</v>
      </c>
      <c r="W15" s="166" t="s">
        <v>62</v>
      </c>
      <c r="X15" s="166" t="s">
        <v>62</v>
      </c>
      <c r="Y15" s="166" t="s">
        <v>62</v>
      </c>
      <c r="Z15" s="166" t="s">
        <v>62</v>
      </c>
      <c r="AA15" s="166" t="s">
        <v>62</v>
      </c>
      <c r="AB15" s="166" t="s">
        <v>62</v>
      </c>
      <c r="AC15" s="166" t="s">
        <v>62</v>
      </c>
      <c r="AD15" s="166" t="s">
        <v>62</v>
      </c>
      <c r="AE15" s="166" t="s">
        <v>62</v>
      </c>
      <c r="AF15" s="166" t="s">
        <v>62</v>
      </c>
      <c r="AG15" s="166" t="s">
        <v>62</v>
      </c>
      <c r="AH15" s="166" t="s">
        <v>62</v>
      </c>
      <c r="AI15" s="166" t="s">
        <v>62</v>
      </c>
      <c r="AJ15" s="166" t="s">
        <v>62</v>
      </c>
      <c r="AK15" s="166" t="s">
        <v>62</v>
      </c>
      <c r="AL15" s="166" t="s">
        <v>62</v>
      </c>
      <c r="AM15" s="167" t="s">
        <v>62</v>
      </c>
      <c r="AN15" s="166" t="s">
        <v>62</v>
      </c>
      <c r="AO15" s="165" t="s">
        <v>62</v>
      </c>
      <c r="AP15" s="165" t="s">
        <v>62</v>
      </c>
      <c r="AQ15" s="165" t="s">
        <v>62</v>
      </c>
      <c r="AR15" s="165" t="s">
        <v>62</v>
      </c>
      <c r="AS15" s="165" t="s">
        <v>62</v>
      </c>
      <c r="AT15" s="165" t="s">
        <v>62</v>
      </c>
      <c r="AU15" s="165" t="s">
        <v>62</v>
      </c>
      <c r="AV15" s="165" t="s">
        <v>62</v>
      </c>
      <c r="AW15" s="165" t="s">
        <v>62</v>
      </c>
      <c r="AX15" s="165" t="s">
        <v>62</v>
      </c>
      <c r="AY15" s="165" t="s">
        <v>62</v>
      </c>
      <c r="AZ15" s="165" t="s">
        <v>62</v>
      </c>
      <c r="BA15" s="169" t="s">
        <v>62</v>
      </c>
    </row>
    <row r="16" spans="2:53" ht="17.100000000000001" customHeight="1" x14ac:dyDescent="0.25">
      <c r="B16" s="164" t="s">
        <v>65</v>
      </c>
      <c r="C16" s="165">
        <v>0.10984190000000001</v>
      </c>
      <c r="D16" s="165">
        <v>0.13860529999999999</v>
      </c>
      <c r="E16" s="165">
        <v>0.19193940000000001</v>
      </c>
      <c r="F16" s="165">
        <v>0.17184089999999999</v>
      </c>
      <c r="G16" s="165">
        <v>0.143542</v>
      </c>
      <c r="H16" s="165">
        <v>0.122665</v>
      </c>
      <c r="I16" s="165">
        <v>0.1063417</v>
      </c>
      <c r="J16" s="165">
        <v>9.3502117679990004E-2</v>
      </c>
      <c r="K16" s="165">
        <v>8.2566413699999994E-2</v>
      </c>
      <c r="L16" s="165">
        <v>7.28120077E-2</v>
      </c>
      <c r="M16" s="165">
        <v>6.2909349099999998E-2</v>
      </c>
      <c r="N16" s="165">
        <v>5.7048944300000001E-2</v>
      </c>
      <c r="O16" s="165">
        <v>5.1742813874119997E-2</v>
      </c>
      <c r="P16" s="165">
        <v>4.7192647999999997E-2</v>
      </c>
      <c r="Q16" s="166">
        <v>3.9412503929080002E-2</v>
      </c>
      <c r="R16" s="166">
        <v>3.3122121049540001E-2</v>
      </c>
      <c r="S16" s="166">
        <v>3.02960434E-2</v>
      </c>
      <c r="T16" s="166">
        <v>2.7879221499999999E-2</v>
      </c>
      <c r="U16" s="166">
        <v>2.5729450000000001E-2</v>
      </c>
      <c r="V16" s="166">
        <v>2.3870770600000001E-2</v>
      </c>
      <c r="W16" s="166">
        <v>2.1152789700000001E-2</v>
      </c>
      <c r="X16" s="166">
        <v>1.54532526E-2</v>
      </c>
      <c r="Y16" s="166">
        <v>1.412818694674E-2</v>
      </c>
      <c r="Z16" s="166">
        <v>1.20414402E-2</v>
      </c>
      <c r="AA16" s="166">
        <v>1.067385522298E-2</v>
      </c>
      <c r="AB16" s="166">
        <v>9.9287595557200001E-3</v>
      </c>
      <c r="AC16" s="166">
        <v>9.2537421999999998E-3</v>
      </c>
      <c r="AD16" s="166">
        <v>8.6633423999999994E-3</v>
      </c>
      <c r="AE16" s="166">
        <v>6.7666447000000003E-3</v>
      </c>
      <c r="AF16" s="166" t="s">
        <v>62</v>
      </c>
      <c r="AG16" s="166" t="s">
        <v>62</v>
      </c>
      <c r="AH16" s="166" t="s">
        <v>62</v>
      </c>
      <c r="AI16" s="166" t="s">
        <v>62</v>
      </c>
      <c r="AJ16" s="166" t="s">
        <v>62</v>
      </c>
      <c r="AK16" s="166" t="s">
        <v>62</v>
      </c>
      <c r="AL16" s="166" t="s">
        <v>62</v>
      </c>
      <c r="AM16" s="167" t="s">
        <v>62</v>
      </c>
      <c r="AN16" s="166" t="s">
        <v>62</v>
      </c>
      <c r="AO16" s="165" t="s">
        <v>62</v>
      </c>
      <c r="AP16" s="165" t="s">
        <v>62</v>
      </c>
      <c r="AQ16" s="165" t="s">
        <v>62</v>
      </c>
      <c r="AR16" s="165" t="s">
        <v>62</v>
      </c>
      <c r="AS16" s="165" t="s">
        <v>62</v>
      </c>
      <c r="AT16" s="165" t="s">
        <v>62</v>
      </c>
      <c r="AU16" s="165" t="s">
        <v>62</v>
      </c>
      <c r="AV16" s="165" t="s">
        <v>62</v>
      </c>
      <c r="AW16" s="165" t="s">
        <v>62</v>
      </c>
      <c r="AX16" s="165" t="s">
        <v>62</v>
      </c>
      <c r="AY16" s="165" t="s">
        <v>62</v>
      </c>
      <c r="AZ16" s="165" t="s">
        <v>62</v>
      </c>
      <c r="BA16" s="169" t="s">
        <v>62</v>
      </c>
    </row>
    <row r="17" spans="2:53" ht="17.100000000000001" customHeight="1" x14ac:dyDescent="0.25">
      <c r="B17" s="164" t="s">
        <v>31</v>
      </c>
      <c r="C17" s="165">
        <v>0.39343660000000003</v>
      </c>
      <c r="D17" s="165">
        <v>0.37629899999999999</v>
      </c>
      <c r="E17" s="165">
        <v>0.32011909999999999</v>
      </c>
      <c r="F17" s="165">
        <v>0.28291509999999997</v>
      </c>
      <c r="G17" s="165">
        <v>0.24876390000000001</v>
      </c>
      <c r="H17" s="165">
        <v>0.22094620000000001</v>
      </c>
      <c r="I17" s="165">
        <v>0.19711790000000001</v>
      </c>
      <c r="J17" s="165">
        <v>0.1794144</v>
      </c>
      <c r="K17" s="165">
        <v>0.14705119999999999</v>
      </c>
      <c r="L17" s="165">
        <v>0.1356511</v>
      </c>
      <c r="M17" s="165">
        <v>0.1237316</v>
      </c>
      <c r="N17" s="165">
        <v>0.11490939999999999</v>
      </c>
      <c r="O17" s="165">
        <v>0.1063066</v>
      </c>
      <c r="P17" s="165">
        <v>9.8936230900000005E-2</v>
      </c>
      <c r="Q17" s="166">
        <v>9.2165187400000001E-2</v>
      </c>
      <c r="R17" s="166">
        <v>8.7231847299999998E-2</v>
      </c>
      <c r="S17" s="166">
        <v>8.2267992908070006E-2</v>
      </c>
      <c r="T17" s="166">
        <v>7.7880035599999994E-2</v>
      </c>
      <c r="U17" s="166">
        <v>7.3855687000000003E-2</v>
      </c>
      <c r="V17" s="166" t="s">
        <v>62</v>
      </c>
      <c r="W17" s="166" t="s">
        <v>62</v>
      </c>
      <c r="X17" s="166" t="s">
        <v>62</v>
      </c>
      <c r="Y17" s="166" t="s">
        <v>62</v>
      </c>
      <c r="Z17" s="166" t="s">
        <v>62</v>
      </c>
      <c r="AA17" s="166" t="s">
        <v>62</v>
      </c>
      <c r="AB17" s="166" t="s">
        <v>62</v>
      </c>
      <c r="AC17" s="166" t="s">
        <v>62</v>
      </c>
      <c r="AD17" s="166" t="s">
        <v>62</v>
      </c>
      <c r="AE17" s="166" t="s">
        <v>62</v>
      </c>
      <c r="AF17" s="166" t="s">
        <v>62</v>
      </c>
      <c r="AG17" s="166" t="s">
        <v>62</v>
      </c>
      <c r="AH17" s="166" t="s">
        <v>62</v>
      </c>
      <c r="AI17" s="166" t="s">
        <v>62</v>
      </c>
      <c r="AJ17" s="166" t="s">
        <v>62</v>
      </c>
      <c r="AK17" s="166" t="s">
        <v>62</v>
      </c>
      <c r="AL17" s="166" t="s">
        <v>62</v>
      </c>
      <c r="AM17" s="167" t="s">
        <v>62</v>
      </c>
      <c r="AN17" s="166" t="s">
        <v>62</v>
      </c>
      <c r="AO17" s="165" t="s">
        <v>62</v>
      </c>
      <c r="AP17" s="165" t="s">
        <v>62</v>
      </c>
      <c r="AQ17" s="165" t="s">
        <v>62</v>
      </c>
      <c r="AR17" s="165" t="s">
        <v>62</v>
      </c>
      <c r="AS17" s="165" t="s">
        <v>62</v>
      </c>
      <c r="AT17" s="165" t="s">
        <v>62</v>
      </c>
      <c r="AU17" s="165" t="s">
        <v>62</v>
      </c>
      <c r="AV17" s="165" t="s">
        <v>62</v>
      </c>
      <c r="AW17" s="165" t="s">
        <v>62</v>
      </c>
      <c r="AX17" s="165" t="s">
        <v>62</v>
      </c>
      <c r="AY17" s="165" t="s">
        <v>62</v>
      </c>
      <c r="AZ17" s="165" t="s">
        <v>62</v>
      </c>
      <c r="BA17" s="169" t="s">
        <v>62</v>
      </c>
    </row>
    <row r="18" spans="2:53" ht="17.100000000000001" customHeight="1" x14ac:dyDescent="0.25">
      <c r="B18" s="164" t="s">
        <v>14</v>
      </c>
      <c r="C18" s="165" t="s">
        <v>62</v>
      </c>
      <c r="D18" s="165" t="s">
        <v>62</v>
      </c>
      <c r="E18" s="165">
        <v>5.4990262200000001E-2</v>
      </c>
      <c r="F18" s="165">
        <v>5.0593030800000001E-2</v>
      </c>
      <c r="G18" s="165">
        <v>3.1898511900000003E-2</v>
      </c>
      <c r="H18" s="165">
        <v>2.2155561964400002E-2</v>
      </c>
      <c r="I18" s="165">
        <v>1.6362960700000002E-2</v>
      </c>
      <c r="J18" s="165">
        <v>1.26538233E-2</v>
      </c>
      <c r="K18" s="165">
        <v>1.0054622872560001E-2</v>
      </c>
      <c r="L18" s="165">
        <v>8.2190412000000008E-3</v>
      </c>
      <c r="M18" s="165">
        <v>6.8555374000000002E-3</v>
      </c>
      <c r="N18" s="165">
        <v>5.8280805999999996E-3</v>
      </c>
      <c r="O18" s="165">
        <v>4.9958399999999997E-3</v>
      </c>
      <c r="P18" s="165">
        <v>4.3453340999999998E-3</v>
      </c>
      <c r="Q18" s="166">
        <v>1.8163930127E-3</v>
      </c>
      <c r="R18" s="166" t="s">
        <v>62</v>
      </c>
      <c r="S18" s="166" t="s">
        <v>62</v>
      </c>
      <c r="T18" s="166" t="s">
        <v>62</v>
      </c>
      <c r="U18" s="166" t="s">
        <v>62</v>
      </c>
      <c r="V18" s="166" t="s">
        <v>62</v>
      </c>
      <c r="W18" s="166" t="s">
        <v>62</v>
      </c>
      <c r="X18" s="166" t="s">
        <v>62</v>
      </c>
      <c r="Y18" s="166" t="s">
        <v>62</v>
      </c>
      <c r="Z18" s="166" t="s">
        <v>62</v>
      </c>
      <c r="AA18" s="166" t="s">
        <v>62</v>
      </c>
      <c r="AB18" s="166" t="s">
        <v>62</v>
      </c>
      <c r="AC18" s="166" t="s">
        <v>62</v>
      </c>
      <c r="AD18" s="166" t="s">
        <v>62</v>
      </c>
      <c r="AE18" s="166" t="s">
        <v>62</v>
      </c>
      <c r="AF18" s="166" t="s">
        <v>62</v>
      </c>
      <c r="AG18" s="166" t="s">
        <v>62</v>
      </c>
      <c r="AH18" s="166" t="s">
        <v>62</v>
      </c>
      <c r="AI18" s="166" t="s">
        <v>62</v>
      </c>
      <c r="AJ18" s="166" t="s">
        <v>62</v>
      </c>
      <c r="AK18" s="166" t="s">
        <v>62</v>
      </c>
      <c r="AL18" s="166" t="s">
        <v>62</v>
      </c>
      <c r="AM18" s="167" t="s">
        <v>62</v>
      </c>
      <c r="AN18" s="166" t="s">
        <v>62</v>
      </c>
      <c r="AO18" s="165" t="s">
        <v>62</v>
      </c>
      <c r="AP18" s="165" t="s">
        <v>62</v>
      </c>
      <c r="AQ18" s="165" t="s">
        <v>62</v>
      </c>
      <c r="AR18" s="165" t="s">
        <v>62</v>
      </c>
      <c r="AS18" s="165" t="s">
        <v>62</v>
      </c>
      <c r="AT18" s="165" t="s">
        <v>62</v>
      </c>
      <c r="AU18" s="165" t="s">
        <v>62</v>
      </c>
      <c r="AV18" s="165" t="s">
        <v>62</v>
      </c>
      <c r="AW18" s="165" t="s">
        <v>62</v>
      </c>
      <c r="AX18" s="165" t="s">
        <v>62</v>
      </c>
      <c r="AY18" s="165" t="s">
        <v>62</v>
      </c>
      <c r="AZ18" s="165" t="s">
        <v>62</v>
      </c>
      <c r="BA18" s="169" t="s">
        <v>62</v>
      </c>
    </row>
    <row r="19" spans="2:53" ht="17.100000000000001" customHeight="1" x14ac:dyDescent="0.25">
      <c r="B19" s="164" t="s">
        <v>16</v>
      </c>
      <c r="C19" s="165">
        <v>3.66147665E-2</v>
      </c>
      <c r="D19" s="165">
        <v>3.51236511E-2</v>
      </c>
      <c r="E19" s="165">
        <v>3.2992488E-2</v>
      </c>
      <c r="F19" s="165">
        <v>3.1183054299999999E-2</v>
      </c>
      <c r="G19" s="165">
        <v>2.9603807400000001E-2</v>
      </c>
      <c r="H19" s="165">
        <v>2.80161955E-2</v>
      </c>
      <c r="I19" s="165">
        <v>2.6578917800000001E-2</v>
      </c>
      <c r="J19" s="165">
        <v>2.531313174877E-2</v>
      </c>
      <c r="K19" s="165">
        <v>2.41037804E-2</v>
      </c>
      <c r="L19" s="165">
        <v>2.30609344E-2</v>
      </c>
      <c r="M19" s="165">
        <v>2.2102185100000001E-2</v>
      </c>
      <c r="N19" s="165">
        <v>2.12748863E-2</v>
      </c>
      <c r="O19" s="165">
        <v>2.0397415299999999E-2</v>
      </c>
      <c r="P19" s="165">
        <v>1.963834092442E-2</v>
      </c>
      <c r="Q19" s="166" t="s">
        <v>62</v>
      </c>
      <c r="R19" s="166" t="s">
        <v>62</v>
      </c>
      <c r="S19" s="166" t="s">
        <v>62</v>
      </c>
      <c r="T19" s="166" t="s">
        <v>62</v>
      </c>
      <c r="U19" s="166" t="s">
        <v>62</v>
      </c>
      <c r="V19" s="166" t="s">
        <v>62</v>
      </c>
      <c r="W19" s="166" t="s">
        <v>62</v>
      </c>
      <c r="X19" s="166" t="s">
        <v>62</v>
      </c>
      <c r="Y19" s="166" t="s">
        <v>62</v>
      </c>
      <c r="Z19" s="166" t="s">
        <v>62</v>
      </c>
      <c r="AA19" s="166" t="s">
        <v>62</v>
      </c>
      <c r="AB19" s="166" t="s">
        <v>62</v>
      </c>
      <c r="AC19" s="166" t="s">
        <v>62</v>
      </c>
      <c r="AD19" s="166" t="s">
        <v>62</v>
      </c>
      <c r="AE19" s="166" t="s">
        <v>62</v>
      </c>
      <c r="AF19" s="166" t="s">
        <v>62</v>
      </c>
      <c r="AG19" s="166" t="s">
        <v>62</v>
      </c>
      <c r="AH19" s="166" t="s">
        <v>62</v>
      </c>
      <c r="AI19" s="166" t="s">
        <v>62</v>
      </c>
      <c r="AJ19" s="166" t="s">
        <v>62</v>
      </c>
      <c r="AK19" s="166" t="s">
        <v>62</v>
      </c>
      <c r="AL19" s="166" t="s">
        <v>62</v>
      </c>
      <c r="AM19" s="167" t="s">
        <v>62</v>
      </c>
      <c r="AN19" s="166" t="s">
        <v>62</v>
      </c>
      <c r="AO19" s="165" t="s">
        <v>62</v>
      </c>
      <c r="AP19" s="165" t="s">
        <v>62</v>
      </c>
      <c r="AQ19" s="165" t="s">
        <v>62</v>
      </c>
      <c r="AR19" s="165" t="s">
        <v>62</v>
      </c>
      <c r="AS19" s="165" t="s">
        <v>62</v>
      </c>
      <c r="AT19" s="165" t="s">
        <v>62</v>
      </c>
      <c r="AU19" s="165" t="s">
        <v>62</v>
      </c>
      <c r="AV19" s="165" t="s">
        <v>62</v>
      </c>
      <c r="AW19" s="165" t="s">
        <v>62</v>
      </c>
      <c r="AX19" s="165" t="s">
        <v>62</v>
      </c>
      <c r="AY19" s="165" t="s">
        <v>62</v>
      </c>
      <c r="AZ19" s="165" t="s">
        <v>62</v>
      </c>
      <c r="BA19" s="169" t="s">
        <v>62</v>
      </c>
    </row>
    <row r="20" spans="2:53" ht="17.100000000000001" customHeight="1" x14ac:dyDescent="0.25">
      <c r="B20" s="164" t="s">
        <v>12</v>
      </c>
      <c r="C20" s="165">
        <v>4.6024196999999998E-3</v>
      </c>
      <c r="D20" s="165">
        <v>4.3338965340499998E-3</v>
      </c>
      <c r="E20" s="165">
        <v>4.0882072999999996E-3</v>
      </c>
      <c r="F20" s="165">
        <v>3.8731249999999998E-3</v>
      </c>
      <c r="G20" s="165">
        <v>3.6550533405100001E-3</v>
      </c>
      <c r="H20" s="165">
        <v>3.4641004E-3</v>
      </c>
      <c r="I20" s="165">
        <v>3.2877306000000002E-3</v>
      </c>
      <c r="J20" s="165">
        <v>3.1328430000000002E-3</v>
      </c>
      <c r="K20" s="165">
        <v>2.9727238999999999E-3</v>
      </c>
      <c r="L20" s="165">
        <v>2.8321195999999999E-3</v>
      </c>
      <c r="M20" s="165">
        <v>2.7012604000000002E-3</v>
      </c>
      <c r="N20" s="165">
        <v>2.5861724E-3</v>
      </c>
      <c r="O20" s="165">
        <v>2.4650516E-3</v>
      </c>
      <c r="P20" s="165">
        <v>2.3585416999999998E-3</v>
      </c>
      <c r="Q20" s="166">
        <v>2.2587888000000001E-3</v>
      </c>
      <c r="R20" s="166">
        <v>2.1710423999999999E-3</v>
      </c>
      <c r="S20" s="166">
        <v>2.0771391266200001E-3</v>
      </c>
      <c r="T20" s="166">
        <v>1.9945333999999999E-3</v>
      </c>
      <c r="U20" s="166">
        <v>1.9167594E-3</v>
      </c>
      <c r="V20" s="166">
        <v>1.3904777918799999E-3</v>
      </c>
      <c r="W20" s="166" t="s">
        <v>62</v>
      </c>
      <c r="X20" s="166" t="s">
        <v>62</v>
      </c>
      <c r="Y20" s="166" t="s">
        <v>62</v>
      </c>
      <c r="Z20" s="166" t="s">
        <v>62</v>
      </c>
      <c r="AA20" s="166" t="s">
        <v>62</v>
      </c>
      <c r="AB20" s="166" t="s">
        <v>62</v>
      </c>
      <c r="AC20" s="166" t="s">
        <v>62</v>
      </c>
      <c r="AD20" s="166" t="s">
        <v>62</v>
      </c>
      <c r="AE20" s="166" t="s">
        <v>62</v>
      </c>
      <c r="AF20" s="166" t="s">
        <v>62</v>
      </c>
      <c r="AG20" s="166" t="s">
        <v>62</v>
      </c>
      <c r="AH20" s="166" t="s">
        <v>62</v>
      </c>
      <c r="AI20" s="166" t="s">
        <v>62</v>
      </c>
      <c r="AJ20" s="166" t="s">
        <v>62</v>
      </c>
      <c r="AK20" s="166" t="s">
        <v>62</v>
      </c>
      <c r="AL20" s="166" t="s">
        <v>62</v>
      </c>
      <c r="AM20" s="167" t="s">
        <v>62</v>
      </c>
      <c r="AN20" s="166" t="s">
        <v>62</v>
      </c>
      <c r="AO20" s="165" t="s">
        <v>62</v>
      </c>
      <c r="AP20" s="165" t="s">
        <v>62</v>
      </c>
      <c r="AQ20" s="165" t="s">
        <v>62</v>
      </c>
      <c r="AR20" s="165" t="s">
        <v>62</v>
      </c>
      <c r="AS20" s="165" t="s">
        <v>62</v>
      </c>
      <c r="AT20" s="165" t="s">
        <v>62</v>
      </c>
      <c r="AU20" s="165" t="s">
        <v>62</v>
      </c>
      <c r="AV20" s="165" t="s">
        <v>62</v>
      </c>
      <c r="AW20" s="165" t="s">
        <v>62</v>
      </c>
      <c r="AX20" s="165" t="s">
        <v>62</v>
      </c>
      <c r="AY20" s="165" t="s">
        <v>62</v>
      </c>
      <c r="AZ20" s="165" t="s">
        <v>62</v>
      </c>
      <c r="BA20" s="169" t="s">
        <v>62</v>
      </c>
    </row>
    <row r="21" spans="2:53" ht="17.100000000000001" customHeight="1" x14ac:dyDescent="0.25">
      <c r="B21" s="164" t="s">
        <v>24</v>
      </c>
      <c r="C21" s="165">
        <v>1.0800000000000001E-2</v>
      </c>
      <c r="D21" s="165">
        <v>1.12E-2</v>
      </c>
      <c r="E21" s="165">
        <v>9.7999999999999997E-3</v>
      </c>
      <c r="F21" s="165">
        <v>8.6E-3</v>
      </c>
      <c r="G21" s="165">
        <v>7.6E-3</v>
      </c>
      <c r="H21" s="165">
        <v>6.7999999999999996E-3</v>
      </c>
      <c r="I21" s="165">
        <v>6.1999999999999998E-3</v>
      </c>
      <c r="J21" s="165">
        <v>5.5999999999999999E-3</v>
      </c>
      <c r="K21" s="165">
        <v>5.0000000000000001E-3</v>
      </c>
      <c r="L21" s="165">
        <v>4.5999999999999999E-3</v>
      </c>
      <c r="M21" s="165">
        <v>4.1999999999999997E-3</v>
      </c>
      <c r="N21" s="165">
        <v>3.8E-3</v>
      </c>
      <c r="O21" s="165">
        <v>3.5999999999999999E-3</v>
      </c>
      <c r="P21" s="165">
        <v>3.2000000000000002E-3</v>
      </c>
      <c r="Q21" s="166">
        <v>3.0000000000000001E-3</v>
      </c>
      <c r="R21" s="166">
        <v>2.8396532000000002E-3</v>
      </c>
      <c r="S21" s="166">
        <v>2.6406223980399999E-3</v>
      </c>
      <c r="T21" s="166">
        <v>2.4683239E-3</v>
      </c>
      <c r="U21" s="166">
        <v>2.3123560999999998E-3</v>
      </c>
      <c r="V21" s="166">
        <v>2.1764828999999999E-3</v>
      </c>
      <c r="W21" s="166">
        <v>2.04137001743E-3</v>
      </c>
      <c r="X21" s="166">
        <v>1.92355715348E-3</v>
      </c>
      <c r="Y21" s="166">
        <v>1.81565717808E-3</v>
      </c>
      <c r="Z21" s="166">
        <v>1.7211627000000001E-3</v>
      </c>
      <c r="AA21" s="166">
        <v>1.62517274212E-3</v>
      </c>
      <c r="AB21" s="166">
        <v>1.5410914758699999E-3</v>
      </c>
      <c r="AC21" s="166">
        <v>1.4633708165899999E-3</v>
      </c>
      <c r="AD21" s="166">
        <v>1.3951029882E-3</v>
      </c>
      <c r="AE21" s="166">
        <v>1.32440695583E-3</v>
      </c>
      <c r="AF21" s="166">
        <v>1.2623156E-3</v>
      </c>
      <c r="AG21" s="166">
        <v>1.20449067386E-3</v>
      </c>
      <c r="AH21" s="166">
        <v>1.1536315E-3</v>
      </c>
      <c r="AI21" s="166">
        <v>1.1000201E-3</v>
      </c>
      <c r="AJ21" s="166">
        <v>1.0528724E-3</v>
      </c>
      <c r="AK21" s="166">
        <v>1.0086922112399999E-3</v>
      </c>
      <c r="AL21" s="166">
        <v>9.6983110000000003E-4</v>
      </c>
      <c r="AM21" s="167">
        <v>9.2818000000000002E-4</v>
      </c>
      <c r="AN21" s="166">
        <v>8.9154041957999999E-4</v>
      </c>
      <c r="AO21" s="165">
        <v>8.5702830000000002E-4</v>
      </c>
      <c r="AP21" s="165">
        <v>8.2669799999999995E-4</v>
      </c>
      <c r="AQ21" s="165">
        <v>7.9367360789E-4</v>
      </c>
      <c r="AR21" s="165">
        <v>7.6463759999999997E-4</v>
      </c>
      <c r="AS21" s="165">
        <v>7.3716630000000003E-4</v>
      </c>
      <c r="AT21" s="165">
        <v>7.1306319999999996E-4</v>
      </c>
      <c r="AU21" s="165">
        <v>6.8641999999999998E-4</v>
      </c>
      <c r="AV21" s="165">
        <v>6.6302099999999997E-4</v>
      </c>
      <c r="AW21" s="165">
        <v>6.4079839999999996E-4</v>
      </c>
      <c r="AX21" s="165">
        <v>6.2134440000000005E-4</v>
      </c>
      <c r="AY21" s="165">
        <v>5.9952479999999999E-4</v>
      </c>
      <c r="AZ21" s="165">
        <v>5.8039310000000005E-4</v>
      </c>
      <c r="BA21" s="169">
        <v>5.6216290000000004E-4</v>
      </c>
    </row>
    <row r="22" spans="2:53" ht="17.100000000000001" customHeight="1" x14ac:dyDescent="0.25">
      <c r="B22" s="164" t="s">
        <v>64</v>
      </c>
      <c r="C22" s="165">
        <v>0.94372809999999996</v>
      </c>
      <c r="D22" s="165">
        <v>0.96366269999999998</v>
      </c>
      <c r="E22" s="165">
        <v>1.0527702000000001</v>
      </c>
      <c r="F22" s="165">
        <v>1.0993135999999999</v>
      </c>
      <c r="G22" s="165">
        <v>1.0727987000000001</v>
      </c>
      <c r="H22" s="165">
        <v>1.0475962000000001</v>
      </c>
      <c r="I22" s="165">
        <v>1.0217822000000001</v>
      </c>
      <c r="J22" s="165">
        <v>1.0187081</v>
      </c>
      <c r="K22" s="165">
        <v>0.94047289999999995</v>
      </c>
      <c r="L22" s="165">
        <v>0.81380710000000001</v>
      </c>
      <c r="M22" s="165">
        <v>0.70075010000000004</v>
      </c>
      <c r="N22" s="165">
        <v>0.56624949999999996</v>
      </c>
      <c r="O22" s="165">
        <v>0.453268</v>
      </c>
      <c r="P22" s="165">
        <v>0.37564769999999997</v>
      </c>
      <c r="Q22" s="166">
        <v>0.31399310000000002</v>
      </c>
      <c r="R22" s="166">
        <v>0.266957</v>
      </c>
      <c r="S22" s="166">
        <v>0.22867709999999999</v>
      </c>
      <c r="T22" s="166">
        <v>0.19949059999999999</v>
      </c>
      <c r="U22" s="166">
        <v>0.17532410000000001</v>
      </c>
      <c r="V22" s="166">
        <v>0.1547801</v>
      </c>
      <c r="W22" s="166">
        <v>0.13735720000000001</v>
      </c>
      <c r="X22" s="166">
        <v>0.1215556</v>
      </c>
      <c r="Y22" s="166">
        <v>0.1045398</v>
      </c>
      <c r="Z22" s="166">
        <v>9.3317381399999996E-2</v>
      </c>
      <c r="AA22" s="166">
        <v>8.1112644100000006E-2</v>
      </c>
      <c r="AB22" s="166">
        <v>6.5725816199999995E-2</v>
      </c>
      <c r="AC22" s="166">
        <v>5.629722124145E-2</v>
      </c>
      <c r="AD22" s="166">
        <v>4.47308571E-2</v>
      </c>
      <c r="AE22" s="166">
        <v>3.0399695450380002E-2</v>
      </c>
      <c r="AF22" s="166">
        <v>2.0258965699999999E-2</v>
      </c>
      <c r="AG22" s="166">
        <v>1.4077622E-3</v>
      </c>
      <c r="AH22" s="166" t="s">
        <v>62</v>
      </c>
      <c r="AI22" s="166" t="s">
        <v>62</v>
      </c>
      <c r="AJ22" s="166" t="s">
        <v>62</v>
      </c>
      <c r="AK22" s="166" t="s">
        <v>62</v>
      </c>
      <c r="AL22" s="166" t="s">
        <v>62</v>
      </c>
      <c r="AM22" s="167" t="s">
        <v>62</v>
      </c>
      <c r="AN22" s="166" t="s">
        <v>62</v>
      </c>
      <c r="AO22" s="165" t="s">
        <v>62</v>
      </c>
      <c r="AP22" s="165" t="s">
        <v>62</v>
      </c>
      <c r="AQ22" s="165" t="s">
        <v>62</v>
      </c>
      <c r="AR22" s="165" t="s">
        <v>62</v>
      </c>
      <c r="AS22" s="165" t="s">
        <v>62</v>
      </c>
      <c r="AT22" s="165" t="s">
        <v>62</v>
      </c>
      <c r="AU22" s="165" t="s">
        <v>62</v>
      </c>
      <c r="AV22" s="165" t="s">
        <v>62</v>
      </c>
      <c r="AW22" s="165" t="s">
        <v>62</v>
      </c>
      <c r="AX22" s="165" t="s">
        <v>62</v>
      </c>
      <c r="AY22" s="165" t="s">
        <v>62</v>
      </c>
      <c r="AZ22" s="165" t="s">
        <v>62</v>
      </c>
      <c r="BA22" s="169" t="s">
        <v>62</v>
      </c>
    </row>
    <row r="23" spans="2:53" ht="17.100000000000001" customHeight="1" x14ac:dyDescent="0.25">
      <c r="B23" s="164" t="s">
        <v>28</v>
      </c>
      <c r="C23" s="165">
        <v>4.1202879999999997E-2</v>
      </c>
      <c r="D23" s="165">
        <v>4.8086619999999997E-2</v>
      </c>
      <c r="E23" s="165">
        <v>4.206646E-2</v>
      </c>
      <c r="F23" s="165">
        <v>3.7323200000000001E-2</v>
      </c>
      <c r="G23" s="165">
        <v>3.3247520000000003E-2</v>
      </c>
      <c r="H23" s="165">
        <v>2.9937600000000002E-2</v>
      </c>
      <c r="I23" s="165">
        <v>2.7136500000000001E-2</v>
      </c>
      <c r="J23" s="165">
        <v>2.480158E-2</v>
      </c>
      <c r="K23" s="165">
        <v>2.2653820000000002E-2</v>
      </c>
      <c r="L23" s="165">
        <v>2.083904E-2</v>
      </c>
      <c r="M23" s="165">
        <v>1.9240475999999999E-2</v>
      </c>
      <c r="N23" s="165">
        <v>1.7869429999999999E-2</v>
      </c>
      <c r="O23" s="165">
        <v>1.6553284000000001E-2</v>
      </c>
      <c r="P23" s="165">
        <v>1.5266841999999999E-2</v>
      </c>
      <c r="Q23" s="166">
        <v>1.3536704E-2</v>
      </c>
      <c r="R23" s="166">
        <v>1.2584777700000001E-2</v>
      </c>
      <c r="S23" s="166">
        <v>1.18095431E-2</v>
      </c>
      <c r="T23" s="166">
        <v>1.112818245246E-2</v>
      </c>
      <c r="U23" s="166">
        <v>1.049914980207E-2</v>
      </c>
      <c r="V23" s="166">
        <v>9.9435775999999997E-3</v>
      </c>
      <c r="W23" s="166">
        <v>9.3762114000000008E-3</v>
      </c>
      <c r="X23" s="166">
        <v>8.6932154000000008E-3</v>
      </c>
      <c r="Y23" s="166">
        <v>7.7326156000000002E-3</v>
      </c>
      <c r="Z23" s="166">
        <v>7.3842602000000002E-3</v>
      </c>
      <c r="AA23" s="166">
        <v>7.0169274999999998E-3</v>
      </c>
      <c r="AB23" s="166">
        <v>6.6901334000000002E-3</v>
      </c>
      <c r="AC23" s="166">
        <v>6.3818683000000003E-3</v>
      </c>
      <c r="AD23" s="166">
        <v>6.1071989000000002E-3</v>
      </c>
      <c r="AE23" s="166">
        <v>5.8153441671100004E-3</v>
      </c>
      <c r="AF23" s="166">
        <v>5.5556612E-3</v>
      </c>
      <c r="AG23" s="166">
        <v>5.3100975000000003E-3</v>
      </c>
      <c r="AH23" s="166">
        <v>5.0913544999999999E-3</v>
      </c>
      <c r="AI23" s="166">
        <v>4.8571971999999998E-3</v>
      </c>
      <c r="AJ23" s="166">
        <v>4.6488656412799999E-3</v>
      </c>
      <c r="AK23" s="166">
        <v>4.451417E-3</v>
      </c>
      <c r="AL23" s="166">
        <v>4.2756173999999999E-3</v>
      </c>
      <c r="AM23" s="167">
        <v>4.0860680999999996E-3</v>
      </c>
      <c r="AN23" s="166">
        <v>3.9174669000000004E-3</v>
      </c>
      <c r="AO23" s="165">
        <v>3.7573419999999999E-3</v>
      </c>
      <c r="AP23" s="165">
        <v>3.6148676000000001E-3</v>
      </c>
      <c r="AQ23" s="165">
        <v>3.4601647999999998E-3</v>
      </c>
      <c r="AR23" s="165">
        <v>3.3226153999999998E-3</v>
      </c>
      <c r="AS23" s="165">
        <v>3.1917311999999998E-3</v>
      </c>
      <c r="AT23" s="165">
        <v>3.0753701E-3</v>
      </c>
      <c r="AU23" s="165">
        <v>2.94814755355E-3</v>
      </c>
      <c r="AV23" s="165">
        <v>2.8350936000000001E-3</v>
      </c>
      <c r="AW23" s="165">
        <v>2.7273273E-3</v>
      </c>
      <c r="AX23" s="165">
        <v>2.6316116000000001E-3</v>
      </c>
      <c r="AY23" s="165">
        <v>2.5262505E-3</v>
      </c>
      <c r="AZ23" s="165">
        <v>2.4326866000000001E-3</v>
      </c>
      <c r="BA23" s="169">
        <v>2.3433517435699999E-3</v>
      </c>
    </row>
    <row r="24" spans="2:53" ht="17.100000000000001" customHeight="1" thickBot="1" x14ac:dyDescent="0.3">
      <c r="B24" s="170" t="s">
        <v>47</v>
      </c>
      <c r="C24" s="171">
        <v>5.012102939</v>
      </c>
      <c r="D24" s="171">
        <v>4.7623249861340602</v>
      </c>
      <c r="E24" s="171">
        <v>4.4277210058999996</v>
      </c>
      <c r="F24" s="171">
        <v>3.7894747190204199</v>
      </c>
      <c r="G24" s="171">
        <v>3.3451251689327499</v>
      </c>
      <c r="H24" s="171">
        <v>3.0299872557644001</v>
      </c>
      <c r="I24" s="171">
        <v>2.7408651013721501</v>
      </c>
      <c r="J24" s="171">
        <v>1.6972658177636399</v>
      </c>
      <c r="K24" s="171">
        <v>1.52405485750911</v>
      </c>
      <c r="L24" s="171">
        <v>1.3253871531999999</v>
      </c>
      <c r="M24" s="171">
        <v>1.0742886110000001</v>
      </c>
      <c r="N24" s="171">
        <v>0.88291784129999995</v>
      </c>
      <c r="O24" s="171">
        <v>0.72836426506645002</v>
      </c>
      <c r="P24" s="171">
        <v>0.61711541582441998</v>
      </c>
      <c r="Q24" s="171">
        <v>0.47773373464178998</v>
      </c>
      <c r="R24" s="171">
        <v>0.41311406064953998</v>
      </c>
      <c r="S24" s="171">
        <v>0.36543822173273999</v>
      </c>
      <c r="T24" s="171">
        <v>0.32798095175246</v>
      </c>
      <c r="U24" s="171">
        <v>0.29633577250206999</v>
      </c>
      <c r="V24" s="171">
        <v>0.19848626255477</v>
      </c>
      <c r="W24" s="171">
        <v>0.17587594731743</v>
      </c>
      <c r="X24" s="171">
        <v>0.15324355475348</v>
      </c>
      <c r="Y24" s="171">
        <v>0.13352916792482</v>
      </c>
      <c r="Z24" s="171">
        <v>0.1195085003</v>
      </c>
      <c r="AA24" s="171">
        <v>0.10519745416509001</v>
      </c>
      <c r="AB24" s="171">
        <v>8.8412243931599993E-2</v>
      </c>
      <c r="AC24" s="171">
        <v>7.7697348400470004E-2</v>
      </c>
      <c r="AD24" s="171">
        <v>6.4998868763130005E-2</v>
      </c>
      <c r="AE24" s="171">
        <v>4.6920401973320001E-2</v>
      </c>
      <c r="AF24" s="171">
        <v>2.7076942499999999E-2</v>
      </c>
      <c r="AG24" s="171">
        <v>7.9223503738600001E-3</v>
      </c>
      <c r="AH24" s="171">
        <v>6.2449860000000001E-3</v>
      </c>
      <c r="AI24" s="171">
        <v>5.9572173000000004E-3</v>
      </c>
      <c r="AJ24" s="171">
        <v>5.7017380412799998E-3</v>
      </c>
      <c r="AK24" s="171">
        <v>5.4601092112399998E-3</v>
      </c>
      <c r="AL24" s="171">
        <v>5.2454485000000004E-3</v>
      </c>
      <c r="AM24" s="171">
        <v>5.0142481000000003E-3</v>
      </c>
      <c r="AN24" s="173">
        <v>4.8090073195800002E-3</v>
      </c>
      <c r="AO24" s="171">
        <v>4.6143703000000001E-3</v>
      </c>
      <c r="AP24" s="171">
        <v>4.4415656E-3</v>
      </c>
      <c r="AQ24" s="171">
        <v>4.2538384078899998E-3</v>
      </c>
      <c r="AR24" s="171">
        <v>4.0872529999999999E-3</v>
      </c>
      <c r="AS24" s="171">
        <v>3.9288975000000004E-3</v>
      </c>
      <c r="AT24" s="171">
        <v>3.7884333E-3</v>
      </c>
      <c r="AU24" s="171">
        <v>3.6345675535500001E-3</v>
      </c>
      <c r="AV24" s="171">
        <v>3.4981145999999999E-3</v>
      </c>
      <c r="AW24" s="171">
        <v>3.3681256999999998E-3</v>
      </c>
      <c r="AX24" s="171">
        <v>3.252956E-3</v>
      </c>
      <c r="AY24" s="171">
        <v>3.1257753E-3</v>
      </c>
      <c r="AZ24" s="171">
        <v>3.0130796999999999E-3</v>
      </c>
      <c r="BA24" s="172">
        <v>2.9055146435699999E-3</v>
      </c>
    </row>
    <row r="28" spans="2:53" ht="12" customHeight="1" x14ac:dyDescent="0.25">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row>
  </sheetData>
  <mergeCells count="1">
    <mergeCell ref="B2:BA2"/>
  </mergeCells>
  <pageMargins left="0.05" right="0.05" top="0.5" bottom="0.5" header="0" footer="0"/>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03F99"/>
    <pageSetUpPr fitToPage="1"/>
  </sheetPr>
  <dimension ref="B1:BC41"/>
  <sheetViews>
    <sheetView zoomScale="85" zoomScaleNormal="85" zoomScalePageLayoutView="85" workbookViewId="0"/>
  </sheetViews>
  <sheetFormatPr defaultColWidth="11.42578125" defaultRowHeight="12" customHeight="1" x14ac:dyDescent="0.25"/>
  <cols>
    <col min="1" max="1" width="11.42578125" customWidth="1"/>
    <col min="2" max="2" width="38.7109375" customWidth="1"/>
    <col min="3" max="53" width="12.7109375" customWidth="1"/>
  </cols>
  <sheetData>
    <row r="1" spans="2:53" ht="15" customHeight="1" x14ac:dyDescent="0.25"/>
    <row r="2" spans="2:53" ht="21" customHeight="1" x14ac:dyDescent="0.35">
      <c r="B2" s="330" t="s">
        <v>77</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row>
    <row r="3" spans="2:53" ht="15" customHeight="1" thickBot="1" x14ac:dyDescent="0.3"/>
    <row r="4" spans="2:53" ht="17.100000000000001" customHeight="1" x14ac:dyDescent="0.25">
      <c r="B4" s="154" t="s">
        <v>7</v>
      </c>
      <c r="C4" s="155">
        <v>2025</v>
      </c>
      <c r="D4" s="156">
        <v>2026</v>
      </c>
      <c r="E4" s="156">
        <v>2027</v>
      </c>
      <c r="F4" s="156">
        <v>2028</v>
      </c>
      <c r="G4" s="156">
        <v>2029</v>
      </c>
      <c r="H4" s="156">
        <v>2030</v>
      </c>
      <c r="I4" s="156">
        <v>2031</v>
      </c>
      <c r="J4" s="156">
        <v>2032</v>
      </c>
      <c r="K4" s="156">
        <v>2033</v>
      </c>
      <c r="L4" s="156">
        <v>2034</v>
      </c>
      <c r="M4" s="156">
        <v>2035</v>
      </c>
      <c r="N4" s="156">
        <v>2036</v>
      </c>
      <c r="O4" s="156">
        <v>2037</v>
      </c>
      <c r="P4" s="156">
        <v>2038</v>
      </c>
      <c r="Q4" s="156">
        <v>2039</v>
      </c>
      <c r="R4" s="156">
        <v>2040</v>
      </c>
      <c r="S4" s="156">
        <v>2041</v>
      </c>
      <c r="T4" s="156">
        <v>2042</v>
      </c>
      <c r="U4" s="156">
        <v>2043</v>
      </c>
      <c r="V4" s="156">
        <v>2044</v>
      </c>
      <c r="W4" s="156">
        <v>2045</v>
      </c>
      <c r="X4" s="156">
        <v>2046</v>
      </c>
      <c r="Y4" s="156">
        <v>2047</v>
      </c>
      <c r="Z4" s="156">
        <v>2048</v>
      </c>
      <c r="AA4" s="156">
        <v>2049</v>
      </c>
      <c r="AB4" s="156">
        <v>2050</v>
      </c>
      <c r="AC4" s="156">
        <v>2051</v>
      </c>
      <c r="AD4" s="156">
        <v>2052</v>
      </c>
      <c r="AE4" s="156">
        <v>2053</v>
      </c>
      <c r="AF4" s="156">
        <v>2054</v>
      </c>
      <c r="AG4" s="156">
        <v>2055</v>
      </c>
      <c r="AH4" s="156">
        <v>2056</v>
      </c>
      <c r="AI4" s="156">
        <v>2057</v>
      </c>
      <c r="AJ4" s="156">
        <v>2058</v>
      </c>
      <c r="AK4" s="156">
        <v>2059</v>
      </c>
      <c r="AL4" s="163">
        <v>2060</v>
      </c>
      <c r="AM4" s="162">
        <v>2061</v>
      </c>
      <c r="AN4" s="155">
        <v>2062</v>
      </c>
      <c r="AO4" s="156">
        <v>2063</v>
      </c>
      <c r="AP4" s="156">
        <v>2064</v>
      </c>
      <c r="AQ4" s="156">
        <v>2065</v>
      </c>
      <c r="AR4" s="156">
        <v>2066</v>
      </c>
      <c r="AS4" s="156">
        <v>2067</v>
      </c>
      <c r="AT4" s="156">
        <v>2068</v>
      </c>
      <c r="AU4" s="156">
        <v>2069</v>
      </c>
      <c r="AV4" s="156">
        <v>2070</v>
      </c>
      <c r="AW4" s="156">
        <v>2071</v>
      </c>
      <c r="AX4" s="156">
        <v>2072</v>
      </c>
      <c r="AY4" s="156">
        <v>2073</v>
      </c>
      <c r="AZ4" s="156">
        <v>2074</v>
      </c>
      <c r="BA4" s="157">
        <v>2075</v>
      </c>
    </row>
    <row r="5" spans="2:53" ht="17.100000000000001" customHeight="1" x14ac:dyDescent="0.25">
      <c r="B5" s="158" t="s">
        <v>20</v>
      </c>
      <c r="C5" s="159">
        <v>0.10451990318691</v>
      </c>
      <c r="D5" s="159">
        <v>7.3359184630859997E-2</v>
      </c>
      <c r="E5" s="159">
        <v>5.04831642372E-2</v>
      </c>
      <c r="F5" s="159">
        <v>3.4902496892879997E-2</v>
      </c>
      <c r="G5" s="159">
        <v>4.4906441476199998E-3</v>
      </c>
      <c r="H5" s="159" t="s">
        <v>62</v>
      </c>
      <c r="I5" s="159" t="s">
        <v>62</v>
      </c>
      <c r="J5" s="159" t="s">
        <v>62</v>
      </c>
      <c r="K5" s="159" t="s">
        <v>62</v>
      </c>
      <c r="L5" s="159" t="s">
        <v>62</v>
      </c>
      <c r="M5" s="159" t="s">
        <v>62</v>
      </c>
      <c r="N5" s="159" t="s">
        <v>62</v>
      </c>
      <c r="O5" s="159" t="s">
        <v>62</v>
      </c>
      <c r="P5" s="159" t="s">
        <v>62</v>
      </c>
      <c r="Q5" s="159" t="s">
        <v>62</v>
      </c>
      <c r="R5" s="159" t="s">
        <v>62</v>
      </c>
      <c r="S5" s="159" t="s">
        <v>62</v>
      </c>
      <c r="T5" s="159" t="s">
        <v>62</v>
      </c>
      <c r="U5" s="160" t="s">
        <v>62</v>
      </c>
      <c r="V5" s="160" t="s">
        <v>62</v>
      </c>
      <c r="W5" s="160" t="s">
        <v>62</v>
      </c>
      <c r="X5" s="160" t="s">
        <v>62</v>
      </c>
      <c r="Y5" s="160" t="s">
        <v>62</v>
      </c>
      <c r="Z5" s="160" t="s">
        <v>62</v>
      </c>
      <c r="AA5" s="160" t="s">
        <v>62</v>
      </c>
      <c r="AB5" s="160" t="s">
        <v>62</v>
      </c>
      <c r="AC5" s="160" t="s">
        <v>62</v>
      </c>
      <c r="AD5" s="160" t="s">
        <v>62</v>
      </c>
      <c r="AE5" s="160" t="s">
        <v>62</v>
      </c>
      <c r="AF5" s="160" t="s">
        <v>62</v>
      </c>
      <c r="AG5" s="160" t="s">
        <v>62</v>
      </c>
      <c r="AH5" s="160" t="s">
        <v>62</v>
      </c>
      <c r="AI5" s="160" t="s">
        <v>62</v>
      </c>
      <c r="AJ5" s="160" t="s">
        <v>62</v>
      </c>
      <c r="AK5" s="160" t="s">
        <v>62</v>
      </c>
      <c r="AL5" s="160" t="s">
        <v>62</v>
      </c>
      <c r="AM5" s="161" t="s">
        <v>62</v>
      </c>
      <c r="AN5" s="160" t="s">
        <v>62</v>
      </c>
      <c r="AO5" s="159" t="s">
        <v>62</v>
      </c>
      <c r="AP5" s="159" t="s">
        <v>62</v>
      </c>
      <c r="AQ5" s="159" t="s">
        <v>62</v>
      </c>
      <c r="AR5" s="159" t="s">
        <v>62</v>
      </c>
      <c r="AS5" s="159" t="s">
        <v>62</v>
      </c>
      <c r="AT5" s="159" t="s">
        <v>62</v>
      </c>
      <c r="AU5" s="159" t="s">
        <v>62</v>
      </c>
      <c r="AV5" s="159" t="s">
        <v>62</v>
      </c>
      <c r="AW5" s="159" t="s">
        <v>62</v>
      </c>
      <c r="AX5" s="159" t="s">
        <v>62</v>
      </c>
      <c r="AY5" s="159" t="s">
        <v>62</v>
      </c>
      <c r="AZ5" s="159" t="s">
        <v>62</v>
      </c>
      <c r="BA5" s="168" t="s">
        <v>62</v>
      </c>
    </row>
    <row r="6" spans="2:53" ht="17.100000000000001" customHeight="1" x14ac:dyDescent="0.25">
      <c r="B6" s="164" t="s">
        <v>25</v>
      </c>
      <c r="C6" s="165">
        <v>0.34180835561035999</v>
      </c>
      <c r="D6" s="165">
        <v>0.39745261281084998</v>
      </c>
      <c r="E6" s="165">
        <v>0.23942920689819</v>
      </c>
      <c r="F6" s="165">
        <v>0.15267049530780999</v>
      </c>
      <c r="G6" s="165">
        <v>0.10061350882441999</v>
      </c>
      <c r="H6" s="165">
        <v>6.7118056442159998E-2</v>
      </c>
      <c r="I6" s="165">
        <v>4.0064492226829999E-2</v>
      </c>
      <c r="J6" s="165">
        <v>2.6123145071500001E-3</v>
      </c>
      <c r="K6" s="165" t="s">
        <v>62</v>
      </c>
      <c r="L6" s="165" t="s">
        <v>62</v>
      </c>
      <c r="M6" s="165" t="s">
        <v>62</v>
      </c>
      <c r="N6" s="165" t="s">
        <v>62</v>
      </c>
      <c r="O6" s="165" t="s">
        <v>62</v>
      </c>
      <c r="P6" s="165" t="s">
        <v>62</v>
      </c>
      <c r="Q6" s="166" t="s">
        <v>62</v>
      </c>
      <c r="R6" s="166" t="s">
        <v>62</v>
      </c>
      <c r="S6" s="166" t="s">
        <v>62</v>
      </c>
      <c r="T6" s="166" t="s">
        <v>62</v>
      </c>
      <c r="U6" s="166" t="s">
        <v>62</v>
      </c>
      <c r="V6" s="166" t="s">
        <v>62</v>
      </c>
      <c r="W6" s="166" t="s">
        <v>62</v>
      </c>
      <c r="X6" s="166" t="s">
        <v>62</v>
      </c>
      <c r="Y6" s="166" t="s">
        <v>62</v>
      </c>
      <c r="Z6" s="166" t="s">
        <v>62</v>
      </c>
      <c r="AA6" s="166" t="s">
        <v>62</v>
      </c>
      <c r="AB6" s="166" t="s">
        <v>62</v>
      </c>
      <c r="AC6" s="166" t="s">
        <v>62</v>
      </c>
      <c r="AD6" s="166" t="s">
        <v>62</v>
      </c>
      <c r="AE6" s="166" t="s">
        <v>62</v>
      </c>
      <c r="AF6" s="166" t="s">
        <v>62</v>
      </c>
      <c r="AG6" s="166" t="s">
        <v>62</v>
      </c>
      <c r="AH6" s="166" t="s">
        <v>62</v>
      </c>
      <c r="AI6" s="166" t="s">
        <v>62</v>
      </c>
      <c r="AJ6" s="166" t="s">
        <v>62</v>
      </c>
      <c r="AK6" s="166" t="s">
        <v>62</v>
      </c>
      <c r="AL6" s="166" t="s">
        <v>62</v>
      </c>
      <c r="AM6" s="167" t="s">
        <v>62</v>
      </c>
      <c r="AN6" s="166" t="s">
        <v>62</v>
      </c>
      <c r="AO6" s="165" t="s">
        <v>62</v>
      </c>
      <c r="AP6" s="165" t="s">
        <v>62</v>
      </c>
      <c r="AQ6" s="165" t="s">
        <v>62</v>
      </c>
      <c r="AR6" s="165" t="s">
        <v>62</v>
      </c>
      <c r="AS6" s="165" t="s">
        <v>62</v>
      </c>
      <c r="AT6" s="165" t="s">
        <v>62</v>
      </c>
      <c r="AU6" s="165" t="s">
        <v>62</v>
      </c>
      <c r="AV6" s="165" t="s">
        <v>62</v>
      </c>
      <c r="AW6" s="165" t="s">
        <v>62</v>
      </c>
      <c r="AX6" s="165" t="s">
        <v>62</v>
      </c>
      <c r="AY6" s="165" t="s">
        <v>62</v>
      </c>
      <c r="AZ6" s="165" t="s">
        <v>62</v>
      </c>
      <c r="BA6" s="169" t="s">
        <v>62</v>
      </c>
    </row>
    <row r="7" spans="2:53" ht="17.100000000000001" customHeight="1" x14ac:dyDescent="0.25">
      <c r="B7" s="164" t="s">
        <v>17</v>
      </c>
      <c r="C7" s="165">
        <v>2.2561450671010001E-2</v>
      </c>
      <c r="D7" s="165">
        <v>2.4508576983779999E-2</v>
      </c>
      <c r="E7" s="165">
        <v>1.6979782849119999E-2</v>
      </c>
      <c r="F7" s="165">
        <v>1.375187959354E-2</v>
      </c>
      <c r="G7" s="165">
        <v>1.198538951926E-2</v>
      </c>
      <c r="H7" s="165">
        <v>1.0783198404309999E-2</v>
      </c>
      <c r="I7" s="165">
        <v>9.7469366729299994E-3</v>
      </c>
      <c r="J7" s="165">
        <v>8.8382541583000001E-3</v>
      </c>
      <c r="K7" s="165">
        <v>8.0526315664500008E-3</v>
      </c>
      <c r="L7" s="165">
        <v>7.4634146225599999E-3</v>
      </c>
      <c r="M7" s="165">
        <v>6.6777920307099998E-3</v>
      </c>
      <c r="N7" s="165">
        <v>6.2849807347899996E-3</v>
      </c>
      <c r="O7" s="165">
        <v>5.6957637909000004E-3</v>
      </c>
      <c r="P7" s="165">
        <v>5.3029524949800002E-3</v>
      </c>
      <c r="Q7" s="166">
        <v>3.3388960153600002E-3</v>
      </c>
      <c r="R7" s="166" t="s">
        <v>62</v>
      </c>
      <c r="S7" s="166" t="s">
        <v>62</v>
      </c>
      <c r="T7" s="166" t="s">
        <v>62</v>
      </c>
      <c r="U7" s="166" t="s">
        <v>62</v>
      </c>
      <c r="V7" s="166" t="s">
        <v>62</v>
      </c>
      <c r="W7" s="166" t="s">
        <v>62</v>
      </c>
      <c r="X7" s="166" t="s">
        <v>62</v>
      </c>
      <c r="Y7" s="166" t="s">
        <v>62</v>
      </c>
      <c r="Z7" s="166" t="s">
        <v>62</v>
      </c>
      <c r="AA7" s="166" t="s">
        <v>62</v>
      </c>
      <c r="AB7" s="166" t="s">
        <v>62</v>
      </c>
      <c r="AC7" s="166" t="s">
        <v>62</v>
      </c>
      <c r="AD7" s="166" t="s">
        <v>62</v>
      </c>
      <c r="AE7" s="166" t="s">
        <v>62</v>
      </c>
      <c r="AF7" s="166" t="s">
        <v>62</v>
      </c>
      <c r="AG7" s="166" t="s">
        <v>62</v>
      </c>
      <c r="AH7" s="166" t="s">
        <v>62</v>
      </c>
      <c r="AI7" s="166" t="s">
        <v>62</v>
      </c>
      <c r="AJ7" s="166" t="s">
        <v>62</v>
      </c>
      <c r="AK7" s="166" t="s">
        <v>62</v>
      </c>
      <c r="AL7" s="166" t="s">
        <v>62</v>
      </c>
      <c r="AM7" s="167" t="s">
        <v>62</v>
      </c>
      <c r="AN7" s="166" t="s">
        <v>62</v>
      </c>
      <c r="AO7" s="165" t="s">
        <v>62</v>
      </c>
      <c r="AP7" s="165" t="s">
        <v>62</v>
      </c>
      <c r="AQ7" s="165" t="s">
        <v>62</v>
      </c>
      <c r="AR7" s="165" t="s">
        <v>62</v>
      </c>
      <c r="AS7" s="165" t="s">
        <v>62</v>
      </c>
      <c r="AT7" s="165" t="s">
        <v>62</v>
      </c>
      <c r="AU7" s="165" t="s">
        <v>62</v>
      </c>
      <c r="AV7" s="165" t="s">
        <v>62</v>
      </c>
      <c r="AW7" s="165" t="s">
        <v>62</v>
      </c>
      <c r="AX7" s="165" t="s">
        <v>62</v>
      </c>
      <c r="AY7" s="165" t="s">
        <v>62</v>
      </c>
      <c r="AZ7" s="165" t="s">
        <v>62</v>
      </c>
      <c r="BA7" s="169" t="s">
        <v>62</v>
      </c>
    </row>
    <row r="8" spans="2:53" ht="17.100000000000001" customHeight="1" x14ac:dyDescent="0.25">
      <c r="B8" s="164" t="s">
        <v>36</v>
      </c>
      <c r="C8" s="165">
        <v>4.9322374007900001E-3</v>
      </c>
      <c r="D8" s="165">
        <v>4.9322374007900001E-3</v>
      </c>
      <c r="E8" s="165">
        <v>4.9322374007900001E-3</v>
      </c>
      <c r="F8" s="165">
        <v>4.9322374007900001E-3</v>
      </c>
      <c r="G8" s="165">
        <v>4.9322374007900001E-3</v>
      </c>
      <c r="H8" s="165">
        <v>4.9322374007900001E-3</v>
      </c>
      <c r="I8" s="165">
        <v>4.9322374007900001E-3</v>
      </c>
      <c r="J8" s="165">
        <v>4.9322374007900001E-3</v>
      </c>
      <c r="K8" s="165">
        <v>4.9322374007900001E-3</v>
      </c>
      <c r="L8" s="165">
        <v>4.9322374007900001E-3</v>
      </c>
      <c r="M8" s="165">
        <v>4.9322374007900001E-3</v>
      </c>
      <c r="N8" s="165">
        <v>4.9322374007900001E-3</v>
      </c>
      <c r="O8" s="165">
        <v>4.9322374007900001E-3</v>
      </c>
      <c r="P8" s="165">
        <v>4.9322374007900001E-3</v>
      </c>
      <c r="Q8" s="166">
        <v>4.9322374007900001E-3</v>
      </c>
      <c r="R8" s="166">
        <v>4.9322374007900001E-3</v>
      </c>
      <c r="S8" s="166">
        <v>4.9322374007900001E-3</v>
      </c>
      <c r="T8" s="166">
        <v>4.9322374007900001E-3</v>
      </c>
      <c r="U8" s="166">
        <v>4.9322374007900001E-3</v>
      </c>
      <c r="V8" s="166">
        <v>4.9322374007900001E-3</v>
      </c>
      <c r="W8" s="166">
        <v>4.9322374007900001E-3</v>
      </c>
      <c r="X8" s="166">
        <v>4.9322374007900001E-3</v>
      </c>
      <c r="Y8" s="166">
        <v>4.9322374007900001E-3</v>
      </c>
      <c r="Z8" s="166">
        <v>4.9322374007900001E-3</v>
      </c>
      <c r="AA8" s="166">
        <v>4.9322374007900001E-3</v>
      </c>
      <c r="AB8" s="166">
        <v>4.9322374007900001E-3</v>
      </c>
      <c r="AC8" s="166">
        <v>4.9322374007900001E-3</v>
      </c>
      <c r="AD8" s="166">
        <v>4.9322374007900001E-3</v>
      </c>
      <c r="AE8" s="166">
        <v>4.9322374007900001E-3</v>
      </c>
      <c r="AF8" s="166">
        <v>4.9322374007900001E-3</v>
      </c>
      <c r="AG8" s="166" t="s">
        <v>62</v>
      </c>
      <c r="AH8" s="166" t="s">
        <v>62</v>
      </c>
      <c r="AI8" s="166" t="s">
        <v>62</v>
      </c>
      <c r="AJ8" s="166" t="s">
        <v>62</v>
      </c>
      <c r="AK8" s="166" t="s">
        <v>62</v>
      </c>
      <c r="AL8" s="166" t="s">
        <v>62</v>
      </c>
      <c r="AM8" s="167" t="s">
        <v>62</v>
      </c>
      <c r="AN8" s="166" t="s">
        <v>62</v>
      </c>
      <c r="AO8" s="165" t="s">
        <v>62</v>
      </c>
      <c r="AP8" s="165" t="s">
        <v>62</v>
      </c>
      <c r="AQ8" s="165" t="s">
        <v>62</v>
      </c>
      <c r="AR8" s="165" t="s">
        <v>62</v>
      </c>
      <c r="AS8" s="165" t="s">
        <v>62</v>
      </c>
      <c r="AT8" s="165" t="s">
        <v>62</v>
      </c>
      <c r="AU8" s="165" t="s">
        <v>62</v>
      </c>
      <c r="AV8" s="165" t="s">
        <v>62</v>
      </c>
      <c r="AW8" s="165" t="s">
        <v>62</v>
      </c>
      <c r="AX8" s="165" t="s">
        <v>62</v>
      </c>
      <c r="AY8" s="165" t="s">
        <v>62</v>
      </c>
      <c r="AZ8" s="165" t="s">
        <v>62</v>
      </c>
      <c r="BA8" s="169" t="s">
        <v>62</v>
      </c>
    </row>
    <row r="9" spans="2:53" ht="17.100000000000001" customHeight="1" x14ac:dyDescent="0.25">
      <c r="B9" s="164" t="s">
        <v>32</v>
      </c>
      <c r="C9" s="165">
        <v>11.538180655066499</v>
      </c>
      <c r="D9" s="165">
        <v>10.375493383123001</v>
      </c>
      <c r="E9" s="165">
        <v>10.746878072533701</v>
      </c>
      <c r="F9" s="165">
        <v>9.1917409276436004</v>
      </c>
      <c r="G9" s="165">
        <v>8.1976189368890395</v>
      </c>
      <c r="H9" s="165">
        <v>7.5338434773931597</v>
      </c>
      <c r="I9" s="165">
        <v>6.5895965067794</v>
      </c>
      <c r="J9" s="165">
        <v>5.9627708168025402</v>
      </c>
      <c r="K9" s="165">
        <v>5.0522986259823099</v>
      </c>
      <c r="L9" s="165">
        <v>4.6329697976858997</v>
      </c>
      <c r="M9" s="165">
        <v>4.0017866885887203</v>
      </c>
      <c r="N9" s="165">
        <v>3.6474737591002402</v>
      </c>
      <c r="O9" s="165">
        <v>2.8603271749563399</v>
      </c>
      <c r="P9" s="165">
        <v>2.3712301936873601</v>
      </c>
      <c r="Q9" s="166" t="s">
        <v>62</v>
      </c>
      <c r="R9" s="166" t="s">
        <v>62</v>
      </c>
      <c r="S9" s="166" t="s">
        <v>62</v>
      </c>
      <c r="T9" s="166" t="s">
        <v>62</v>
      </c>
      <c r="U9" s="166" t="s">
        <v>62</v>
      </c>
      <c r="V9" s="166" t="s">
        <v>62</v>
      </c>
      <c r="W9" s="166" t="s">
        <v>62</v>
      </c>
      <c r="X9" s="166" t="s">
        <v>62</v>
      </c>
      <c r="Y9" s="166" t="s">
        <v>62</v>
      </c>
      <c r="Z9" s="166" t="s">
        <v>62</v>
      </c>
      <c r="AA9" s="166" t="s">
        <v>62</v>
      </c>
      <c r="AB9" s="166" t="s">
        <v>62</v>
      </c>
      <c r="AC9" s="166" t="s">
        <v>62</v>
      </c>
      <c r="AD9" s="166" t="s">
        <v>62</v>
      </c>
      <c r="AE9" s="166" t="s">
        <v>62</v>
      </c>
      <c r="AF9" s="166" t="s">
        <v>62</v>
      </c>
      <c r="AG9" s="166" t="s">
        <v>62</v>
      </c>
      <c r="AH9" s="166" t="s">
        <v>62</v>
      </c>
      <c r="AI9" s="166" t="s">
        <v>62</v>
      </c>
      <c r="AJ9" s="166" t="s">
        <v>62</v>
      </c>
      <c r="AK9" s="166" t="s">
        <v>62</v>
      </c>
      <c r="AL9" s="166" t="s">
        <v>62</v>
      </c>
      <c r="AM9" s="167" t="s">
        <v>62</v>
      </c>
      <c r="AN9" s="166" t="s">
        <v>62</v>
      </c>
      <c r="AO9" s="165" t="s">
        <v>62</v>
      </c>
      <c r="AP9" s="165" t="s">
        <v>62</v>
      </c>
      <c r="AQ9" s="165" t="s">
        <v>62</v>
      </c>
      <c r="AR9" s="165" t="s">
        <v>62</v>
      </c>
      <c r="AS9" s="165" t="s">
        <v>62</v>
      </c>
      <c r="AT9" s="165" t="s">
        <v>62</v>
      </c>
      <c r="AU9" s="165" t="s">
        <v>62</v>
      </c>
      <c r="AV9" s="165" t="s">
        <v>62</v>
      </c>
      <c r="AW9" s="165" t="s">
        <v>62</v>
      </c>
      <c r="AX9" s="165" t="s">
        <v>62</v>
      </c>
      <c r="AY9" s="165" t="s">
        <v>62</v>
      </c>
      <c r="AZ9" s="165" t="s">
        <v>62</v>
      </c>
      <c r="BA9" s="169" t="s">
        <v>62</v>
      </c>
    </row>
    <row r="10" spans="2:53" ht="17.100000000000001" customHeight="1" x14ac:dyDescent="0.25">
      <c r="B10" s="164" t="s">
        <v>23</v>
      </c>
      <c r="C10" s="165">
        <v>0.41642485333300999</v>
      </c>
      <c r="D10" s="165">
        <v>0.51029751525403999</v>
      </c>
      <c r="E10" s="165">
        <v>0.87130259171544</v>
      </c>
      <c r="F10" s="165">
        <v>0.79038315185389996</v>
      </c>
      <c r="G10" s="165">
        <v>0.71600232558939003</v>
      </c>
      <c r="H10" s="165">
        <v>0.65294815046262999</v>
      </c>
      <c r="I10" s="165">
        <v>0.59752693424571002</v>
      </c>
      <c r="J10" s="165">
        <v>0.55002112077645005</v>
      </c>
      <c r="K10" s="165">
        <v>0.50504656211712995</v>
      </c>
      <c r="L10" s="165">
        <v>0.46637954677278998</v>
      </c>
      <c r="M10" s="165">
        <v>0.43180248649271002</v>
      </c>
      <c r="N10" s="165">
        <v>0.40182978114771001</v>
      </c>
      <c r="O10" s="165">
        <v>0.37275622374739997</v>
      </c>
      <c r="P10" s="165">
        <v>0.34752195388926999</v>
      </c>
      <c r="Q10" s="166">
        <v>0.32465917151140999</v>
      </c>
      <c r="R10" s="166">
        <v>0.30469268405845001</v>
      </c>
      <c r="S10" s="166">
        <v>0.28491430796591999</v>
      </c>
      <c r="T10" s="166">
        <v>0.26331084201742999</v>
      </c>
      <c r="U10" s="166">
        <v>0.24665484878269001</v>
      </c>
      <c r="V10" s="166">
        <v>0.23308414758425</v>
      </c>
      <c r="W10" s="166">
        <v>0.21938146949255999</v>
      </c>
      <c r="X10" s="166">
        <v>0.20735773234818999</v>
      </c>
      <c r="Y10" s="166">
        <v>0.19625572979802999</v>
      </c>
      <c r="Z10" s="166">
        <v>0.18648202153335999</v>
      </c>
      <c r="AA10" s="166">
        <v>0.17644402732558001</v>
      </c>
      <c r="AB10" s="166">
        <v>0.16761220448948</v>
      </c>
      <c r="AC10" s="166">
        <v>0.15940096092070999</v>
      </c>
      <c r="AD10" s="166">
        <v>0.15216072184338</v>
      </c>
      <c r="AE10" s="166">
        <v>9.7035053153279996E-2</v>
      </c>
      <c r="AF10" s="166" t="s">
        <v>62</v>
      </c>
      <c r="AG10" s="166" t="s">
        <v>62</v>
      </c>
      <c r="AH10" s="166" t="s">
        <v>62</v>
      </c>
      <c r="AI10" s="166" t="s">
        <v>62</v>
      </c>
      <c r="AJ10" s="166" t="s">
        <v>62</v>
      </c>
      <c r="AK10" s="166" t="s">
        <v>62</v>
      </c>
      <c r="AL10" s="166" t="s">
        <v>62</v>
      </c>
      <c r="AM10" s="167" t="s">
        <v>62</v>
      </c>
      <c r="AN10" s="166" t="s">
        <v>62</v>
      </c>
      <c r="AO10" s="165" t="s">
        <v>62</v>
      </c>
      <c r="AP10" s="165" t="s">
        <v>62</v>
      </c>
      <c r="AQ10" s="165" t="s">
        <v>62</v>
      </c>
      <c r="AR10" s="165" t="s">
        <v>62</v>
      </c>
      <c r="AS10" s="165" t="s">
        <v>62</v>
      </c>
      <c r="AT10" s="165" t="s">
        <v>62</v>
      </c>
      <c r="AU10" s="165" t="s">
        <v>62</v>
      </c>
      <c r="AV10" s="165" t="s">
        <v>62</v>
      </c>
      <c r="AW10" s="165" t="s">
        <v>62</v>
      </c>
      <c r="AX10" s="165" t="s">
        <v>62</v>
      </c>
      <c r="AY10" s="165" t="s">
        <v>62</v>
      </c>
      <c r="AZ10" s="165" t="s">
        <v>62</v>
      </c>
      <c r="BA10" s="169" t="s">
        <v>62</v>
      </c>
    </row>
    <row r="11" spans="2:53" ht="17.100000000000001" customHeight="1" x14ac:dyDescent="0.25">
      <c r="B11" s="164" t="s">
        <v>27</v>
      </c>
      <c r="C11" s="165">
        <v>14.54213936479</v>
      </c>
      <c r="D11" s="165">
        <v>14.3954187772545</v>
      </c>
      <c r="E11" s="165">
        <v>11.605634878343899</v>
      </c>
      <c r="F11" s="165">
        <v>9.4143284895479304</v>
      </c>
      <c r="G11" s="165">
        <v>9.2056769643017198</v>
      </c>
      <c r="H11" s="165">
        <v>8.2767592829113195</v>
      </c>
      <c r="I11" s="165">
        <v>7.4758226041633602</v>
      </c>
      <c r="J11" s="165">
        <v>6.2746427595525596</v>
      </c>
      <c r="K11" s="165">
        <v>6.1581081243128697</v>
      </c>
      <c r="L11" s="165">
        <v>5.5422560196753796</v>
      </c>
      <c r="M11" s="165">
        <v>0.88557050464730003</v>
      </c>
      <c r="N11" s="165" t="s">
        <v>62</v>
      </c>
      <c r="O11" s="165" t="s">
        <v>62</v>
      </c>
      <c r="P11" s="165" t="s">
        <v>62</v>
      </c>
      <c r="Q11" s="166" t="s">
        <v>62</v>
      </c>
      <c r="R11" s="166" t="s">
        <v>62</v>
      </c>
      <c r="S11" s="166" t="s">
        <v>62</v>
      </c>
      <c r="T11" s="166" t="s">
        <v>62</v>
      </c>
      <c r="U11" s="166" t="s">
        <v>62</v>
      </c>
      <c r="V11" s="166" t="s">
        <v>62</v>
      </c>
      <c r="W11" s="166" t="s">
        <v>62</v>
      </c>
      <c r="X11" s="166" t="s">
        <v>62</v>
      </c>
      <c r="Y11" s="166" t="s">
        <v>62</v>
      </c>
      <c r="Z11" s="166" t="s">
        <v>62</v>
      </c>
      <c r="AA11" s="166" t="s">
        <v>62</v>
      </c>
      <c r="AB11" s="166" t="s">
        <v>62</v>
      </c>
      <c r="AC11" s="166" t="s">
        <v>62</v>
      </c>
      <c r="AD11" s="166" t="s">
        <v>62</v>
      </c>
      <c r="AE11" s="166" t="s">
        <v>62</v>
      </c>
      <c r="AF11" s="166" t="s">
        <v>62</v>
      </c>
      <c r="AG11" s="166" t="s">
        <v>62</v>
      </c>
      <c r="AH11" s="166" t="s">
        <v>62</v>
      </c>
      <c r="AI11" s="166" t="s">
        <v>62</v>
      </c>
      <c r="AJ11" s="166" t="s">
        <v>62</v>
      </c>
      <c r="AK11" s="166" t="s">
        <v>62</v>
      </c>
      <c r="AL11" s="166" t="s">
        <v>62</v>
      </c>
      <c r="AM11" s="167" t="s">
        <v>62</v>
      </c>
      <c r="AN11" s="166" t="s">
        <v>62</v>
      </c>
      <c r="AO11" s="165" t="s">
        <v>62</v>
      </c>
      <c r="AP11" s="165" t="s">
        <v>62</v>
      </c>
      <c r="AQ11" s="165" t="s">
        <v>62</v>
      </c>
      <c r="AR11" s="165" t="s">
        <v>62</v>
      </c>
      <c r="AS11" s="165" t="s">
        <v>62</v>
      </c>
      <c r="AT11" s="165" t="s">
        <v>62</v>
      </c>
      <c r="AU11" s="165" t="s">
        <v>62</v>
      </c>
      <c r="AV11" s="165" t="s">
        <v>62</v>
      </c>
      <c r="AW11" s="165" t="s">
        <v>62</v>
      </c>
      <c r="AX11" s="165" t="s">
        <v>62</v>
      </c>
      <c r="AY11" s="165" t="s">
        <v>62</v>
      </c>
      <c r="AZ11" s="165" t="s">
        <v>62</v>
      </c>
      <c r="BA11" s="169" t="s">
        <v>62</v>
      </c>
    </row>
    <row r="12" spans="2:53" ht="17.100000000000001" customHeight="1" x14ac:dyDescent="0.25">
      <c r="B12" s="164" t="s">
        <v>30</v>
      </c>
      <c r="C12" s="165">
        <v>0.73414833288584003</v>
      </c>
      <c r="D12" s="165">
        <v>0.58963002013351995</v>
      </c>
      <c r="E12" s="165">
        <v>0.45698294641359999</v>
      </c>
      <c r="F12" s="165">
        <v>0.37430121609945</v>
      </c>
      <c r="G12" s="165">
        <v>0.29806059570130999</v>
      </c>
      <c r="H12" s="165">
        <v>0.24996444450738001</v>
      </c>
      <c r="I12" s="165">
        <v>0.20548787015975001</v>
      </c>
      <c r="J12" s="165" t="s">
        <v>62</v>
      </c>
      <c r="K12" s="165" t="s">
        <v>62</v>
      </c>
      <c r="L12" s="165" t="s">
        <v>62</v>
      </c>
      <c r="M12" s="165" t="s">
        <v>62</v>
      </c>
      <c r="N12" s="165" t="s">
        <v>62</v>
      </c>
      <c r="O12" s="165" t="s">
        <v>62</v>
      </c>
      <c r="P12" s="165" t="s">
        <v>62</v>
      </c>
      <c r="Q12" s="166" t="s">
        <v>62</v>
      </c>
      <c r="R12" s="166" t="s">
        <v>62</v>
      </c>
      <c r="S12" s="166" t="s">
        <v>62</v>
      </c>
      <c r="T12" s="166" t="s">
        <v>62</v>
      </c>
      <c r="U12" s="166" t="s">
        <v>62</v>
      </c>
      <c r="V12" s="166" t="s">
        <v>62</v>
      </c>
      <c r="W12" s="166" t="s">
        <v>62</v>
      </c>
      <c r="X12" s="166" t="s">
        <v>62</v>
      </c>
      <c r="Y12" s="166" t="s">
        <v>62</v>
      </c>
      <c r="Z12" s="166" t="s">
        <v>62</v>
      </c>
      <c r="AA12" s="166" t="s">
        <v>62</v>
      </c>
      <c r="AB12" s="166" t="s">
        <v>62</v>
      </c>
      <c r="AC12" s="166" t="s">
        <v>62</v>
      </c>
      <c r="AD12" s="166" t="s">
        <v>62</v>
      </c>
      <c r="AE12" s="166" t="s">
        <v>62</v>
      </c>
      <c r="AF12" s="166" t="s">
        <v>62</v>
      </c>
      <c r="AG12" s="166" t="s">
        <v>62</v>
      </c>
      <c r="AH12" s="166" t="s">
        <v>62</v>
      </c>
      <c r="AI12" s="166" t="s">
        <v>62</v>
      </c>
      <c r="AJ12" s="166" t="s">
        <v>62</v>
      </c>
      <c r="AK12" s="166" t="s">
        <v>62</v>
      </c>
      <c r="AL12" s="166" t="s">
        <v>62</v>
      </c>
      <c r="AM12" s="167" t="s">
        <v>62</v>
      </c>
      <c r="AN12" s="166" t="s">
        <v>62</v>
      </c>
      <c r="AO12" s="165" t="s">
        <v>62</v>
      </c>
      <c r="AP12" s="165" t="s">
        <v>62</v>
      </c>
      <c r="AQ12" s="165" t="s">
        <v>62</v>
      </c>
      <c r="AR12" s="165" t="s">
        <v>62</v>
      </c>
      <c r="AS12" s="165" t="s">
        <v>62</v>
      </c>
      <c r="AT12" s="165" t="s">
        <v>62</v>
      </c>
      <c r="AU12" s="165" t="s">
        <v>62</v>
      </c>
      <c r="AV12" s="165" t="s">
        <v>62</v>
      </c>
      <c r="AW12" s="165" t="s">
        <v>62</v>
      </c>
      <c r="AX12" s="165" t="s">
        <v>62</v>
      </c>
      <c r="AY12" s="165" t="s">
        <v>62</v>
      </c>
      <c r="AZ12" s="165" t="s">
        <v>62</v>
      </c>
      <c r="BA12" s="169" t="s">
        <v>62</v>
      </c>
    </row>
    <row r="13" spans="2:53" ht="17.100000000000001" customHeight="1" x14ac:dyDescent="0.25">
      <c r="B13" s="164" t="s">
        <v>26</v>
      </c>
      <c r="C13" s="165">
        <v>16.1716095044582</v>
      </c>
      <c r="D13" s="165">
        <v>15.511543810398701</v>
      </c>
      <c r="E13" s="165">
        <v>12.871281034160599</v>
      </c>
      <c r="F13" s="165">
        <v>11.551149646041599</v>
      </c>
      <c r="G13" s="165">
        <v>8.8008759207935991</v>
      </c>
      <c r="H13" s="165">
        <v>5.8305802975257599</v>
      </c>
      <c r="I13" s="165">
        <v>3.4103394193075198</v>
      </c>
      <c r="J13" s="165">
        <v>2.3102299292083202</v>
      </c>
      <c r="K13" s="165">
        <v>1.54015328613888</v>
      </c>
      <c r="L13" s="165" t="s">
        <v>62</v>
      </c>
      <c r="M13" s="165" t="s">
        <v>62</v>
      </c>
      <c r="N13" s="165" t="s">
        <v>62</v>
      </c>
      <c r="O13" s="165" t="s">
        <v>62</v>
      </c>
      <c r="P13" s="165" t="s">
        <v>62</v>
      </c>
      <c r="Q13" s="166" t="s">
        <v>62</v>
      </c>
      <c r="R13" s="166" t="s">
        <v>62</v>
      </c>
      <c r="S13" s="166" t="s">
        <v>62</v>
      </c>
      <c r="T13" s="166" t="s">
        <v>62</v>
      </c>
      <c r="U13" s="166" t="s">
        <v>62</v>
      </c>
      <c r="V13" s="166" t="s">
        <v>62</v>
      </c>
      <c r="W13" s="166" t="s">
        <v>62</v>
      </c>
      <c r="X13" s="166" t="s">
        <v>62</v>
      </c>
      <c r="Y13" s="166" t="s">
        <v>62</v>
      </c>
      <c r="Z13" s="166" t="s">
        <v>62</v>
      </c>
      <c r="AA13" s="166" t="s">
        <v>62</v>
      </c>
      <c r="AB13" s="166" t="s">
        <v>62</v>
      </c>
      <c r="AC13" s="166" t="s">
        <v>62</v>
      </c>
      <c r="AD13" s="166" t="s">
        <v>62</v>
      </c>
      <c r="AE13" s="166" t="s">
        <v>62</v>
      </c>
      <c r="AF13" s="166" t="s">
        <v>62</v>
      </c>
      <c r="AG13" s="166" t="s">
        <v>62</v>
      </c>
      <c r="AH13" s="166" t="s">
        <v>62</v>
      </c>
      <c r="AI13" s="166" t="s">
        <v>62</v>
      </c>
      <c r="AJ13" s="166" t="s">
        <v>62</v>
      </c>
      <c r="AK13" s="166" t="s">
        <v>62</v>
      </c>
      <c r="AL13" s="166" t="s">
        <v>62</v>
      </c>
      <c r="AM13" s="167" t="s">
        <v>62</v>
      </c>
      <c r="AN13" s="166" t="s">
        <v>62</v>
      </c>
      <c r="AO13" s="165" t="s">
        <v>62</v>
      </c>
      <c r="AP13" s="165" t="s">
        <v>62</v>
      </c>
      <c r="AQ13" s="165" t="s">
        <v>62</v>
      </c>
      <c r="AR13" s="165" t="s">
        <v>62</v>
      </c>
      <c r="AS13" s="165" t="s">
        <v>62</v>
      </c>
      <c r="AT13" s="165" t="s">
        <v>62</v>
      </c>
      <c r="AU13" s="165" t="s">
        <v>62</v>
      </c>
      <c r="AV13" s="165" t="s">
        <v>62</v>
      </c>
      <c r="AW13" s="165" t="s">
        <v>62</v>
      </c>
      <c r="AX13" s="165" t="s">
        <v>62</v>
      </c>
      <c r="AY13" s="165" t="s">
        <v>62</v>
      </c>
      <c r="AZ13" s="165" t="s">
        <v>62</v>
      </c>
      <c r="BA13" s="169" t="s">
        <v>62</v>
      </c>
    </row>
    <row r="14" spans="2:53" ht="17.100000000000001" customHeight="1" x14ac:dyDescent="0.25">
      <c r="B14" s="164" t="s">
        <v>33</v>
      </c>
      <c r="C14" s="165">
        <v>16.752693569879</v>
      </c>
      <c r="D14" s="165">
        <v>11.800008663296699</v>
      </c>
      <c r="E14" s="165">
        <v>8.6845161740088592</v>
      </c>
      <c r="F14" s="165" t="s">
        <v>62</v>
      </c>
      <c r="G14" s="165" t="s">
        <v>62</v>
      </c>
      <c r="H14" s="165" t="s">
        <v>62</v>
      </c>
      <c r="I14" s="165" t="s">
        <v>62</v>
      </c>
      <c r="J14" s="165" t="s">
        <v>62</v>
      </c>
      <c r="K14" s="165" t="s">
        <v>62</v>
      </c>
      <c r="L14" s="165" t="s">
        <v>62</v>
      </c>
      <c r="M14" s="165" t="s">
        <v>62</v>
      </c>
      <c r="N14" s="165" t="s">
        <v>62</v>
      </c>
      <c r="O14" s="165" t="s">
        <v>62</v>
      </c>
      <c r="P14" s="165" t="s">
        <v>62</v>
      </c>
      <c r="Q14" s="166" t="s">
        <v>62</v>
      </c>
      <c r="R14" s="166" t="s">
        <v>62</v>
      </c>
      <c r="S14" s="166" t="s">
        <v>62</v>
      </c>
      <c r="T14" s="166" t="s">
        <v>62</v>
      </c>
      <c r="U14" s="166" t="s">
        <v>62</v>
      </c>
      <c r="V14" s="166" t="s">
        <v>62</v>
      </c>
      <c r="W14" s="166" t="s">
        <v>62</v>
      </c>
      <c r="X14" s="166" t="s">
        <v>62</v>
      </c>
      <c r="Y14" s="166" t="s">
        <v>62</v>
      </c>
      <c r="Z14" s="166" t="s">
        <v>62</v>
      </c>
      <c r="AA14" s="166" t="s">
        <v>62</v>
      </c>
      <c r="AB14" s="166" t="s">
        <v>62</v>
      </c>
      <c r="AC14" s="166" t="s">
        <v>62</v>
      </c>
      <c r="AD14" s="166" t="s">
        <v>62</v>
      </c>
      <c r="AE14" s="166" t="s">
        <v>62</v>
      </c>
      <c r="AF14" s="166" t="s">
        <v>62</v>
      </c>
      <c r="AG14" s="166" t="s">
        <v>62</v>
      </c>
      <c r="AH14" s="166" t="s">
        <v>62</v>
      </c>
      <c r="AI14" s="166" t="s">
        <v>62</v>
      </c>
      <c r="AJ14" s="166" t="s">
        <v>62</v>
      </c>
      <c r="AK14" s="166" t="s">
        <v>62</v>
      </c>
      <c r="AL14" s="166" t="s">
        <v>62</v>
      </c>
      <c r="AM14" s="167" t="s">
        <v>62</v>
      </c>
      <c r="AN14" s="166" t="s">
        <v>62</v>
      </c>
      <c r="AO14" s="165" t="s">
        <v>62</v>
      </c>
      <c r="AP14" s="165" t="s">
        <v>62</v>
      </c>
      <c r="AQ14" s="165" t="s">
        <v>62</v>
      </c>
      <c r="AR14" s="165" t="s">
        <v>62</v>
      </c>
      <c r="AS14" s="165" t="s">
        <v>62</v>
      </c>
      <c r="AT14" s="165" t="s">
        <v>62</v>
      </c>
      <c r="AU14" s="165" t="s">
        <v>62</v>
      </c>
      <c r="AV14" s="165" t="s">
        <v>62</v>
      </c>
      <c r="AW14" s="165" t="s">
        <v>62</v>
      </c>
      <c r="AX14" s="165" t="s">
        <v>62</v>
      </c>
      <c r="AY14" s="165" t="s">
        <v>62</v>
      </c>
      <c r="AZ14" s="165" t="s">
        <v>62</v>
      </c>
      <c r="BA14" s="169" t="s">
        <v>62</v>
      </c>
    </row>
    <row r="15" spans="2:53" ht="17.100000000000001" customHeight="1" x14ac:dyDescent="0.25">
      <c r="B15" s="164" t="s">
        <v>29</v>
      </c>
      <c r="C15" s="165">
        <v>1.24994540149916</v>
      </c>
      <c r="D15" s="165">
        <v>0.95869925495853003</v>
      </c>
      <c r="E15" s="165">
        <v>0.75862420139161002</v>
      </c>
      <c r="F15" s="165">
        <v>0.61707743527252001</v>
      </c>
      <c r="G15" s="165">
        <v>0.50903046543722996</v>
      </c>
      <c r="H15" s="165">
        <v>0.42812493084636999</v>
      </c>
      <c r="I15" s="165">
        <v>0.33617675943622</v>
      </c>
      <c r="J15" s="165" t="s">
        <v>62</v>
      </c>
      <c r="K15" s="165" t="s">
        <v>62</v>
      </c>
      <c r="L15" s="165" t="s">
        <v>62</v>
      </c>
      <c r="M15" s="165" t="s">
        <v>62</v>
      </c>
      <c r="N15" s="165" t="s">
        <v>62</v>
      </c>
      <c r="O15" s="165" t="s">
        <v>62</v>
      </c>
      <c r="P15" s="165" t="s">
        <v>62</v>
      </c>
      <c r="Q15" s="166" t="s">
        <v>62</v>
      </c>
      <c r="R15" s="166" t="s">
        <v>62</v>
      </c>
      <c r="S15" s="166" t="s">
        <v>62</v>
      </c>
      <c r="T15" s="166" t="s">
        <v>62</v>
      </c>
      <c r="U15" s="166" t="s">
        <v>62</v>
      </c>
      <c r="V15" s="166" t="s">
        <v>62</v>
      </c>
      <c r="W15" s="166" t="s">
        <v>62</v>
      </c>
      <c r="X15" s="166" t="s">
        <v>62</v>
      </c>
      <c r="Y15" s="166" t="s">
        <v>62</v>
      </c>
      <c r="Z15" s="166" t="s">
        <v>62</v>
      </c>
      <c r="AA15" s="166" t="s">
        <v>62</v>
      </c>
      <c r="AB15" s="166" t="s">
        <v>62</v>
      </c>
      <c r="AC15" s="166" t="s">
        <v>62</v>
      </c>
      <c r="AD15" s="166" t="s">
        <v>62</v>
      </c>
      <c r="AE15" s="166" t="s">
        <v>62</v>
      </c>
      <c r="AF15" s="166" t="s">
        <v>62</v>
      </c>
      <c r="AG15" s="166" t="s">
        <v>62</v>
      </c>
      <c r="AH15" s="166" t="s">
        <v>62</v>
      </c>
      <c r="AI15" s="166" t="s">
        <v>62</v>
      </c>
      <c r="AJ15" s="166" t="s">
        <v>62</v>
      </c>
      <c r="AK15" s="166" t="s">
        <v>62</v>
      </c>
      <c r="AL15" s="166" t="s">
        <v>62</v>
      </c>
      <c r="AM15" s="167" t="s">
        <v>62</v>
      </c>
      <c r="AN15" s="166" t="s">
        <v>62</v>
      </c>
      <c r="AO15" s="165" t="s">
        <v>62</v>
      </c>
      <c r="AP15" s="165" t="s">
        <v>62</v>
      </c>
      <c r="AQ15" s="165" t="s">
        <v>62</v>
      </c>
      <c r="AR15" s="165" t="s">
        <v>62</v>
      </c>
      <c r="AS15" s="165" t="s">
        <v>62</v>
      </c>
      <c r="AT15" s="165" t="s">
        <v>62</v>
      </c>
      <c r="AU15" s="165" t="s">
        <v>62</v>
      </c>
      <c r="AV15" s="165" t="s">
        <v>62</v>
      </c>
      <c r="AW15" s="165" t="s">
        <v>62</v>
      </c>
      <c r="AX15" s="165" t="s">
        <v>62</v>
      </c>
      <c r="AY15" s="165" t="s">
        <v>62</v>
      </c>
      <c r="AZ15" s="165" t="s">
        <v>62</v>
      </c>
      <c r="BA15" s="169" t="s">
        <v>62</v>
      </c>
    </row>
    <row r="16" spans="2:53" ht="17.100000000000001" customHeight="1" x14ac:dyDescent="0.25">
      <c r="B16" s="164" t="s">
        <v>65</v>
      </c>
      <c r="C16" s="165">
        <v>1.5144501598101301</v>
      </c>
      <c r="D16" s="165">
        <v>2.54203913597676</v>
      </c>
      <c r="E16" s="165">
        <v>4.2632840974367197</v>
      </c>
      <c r="F16" s="165">
        <v>3.8455028917876102</v>
      </c>
      <c r="G16" s="165">
        <v>3.14810012555921</v>
      </c>
      <c r="H16" s="165">
        <v>2.64867667526602</v>
      </c>
      <c r="I16" s="165">
        <v>2.2639579716421498</v>
      </c>
      <c r="J16" s="165">
        <v>1.9650699021824101</v>
      </c>
      <c r="K16" s="165">
        <v>1.7149669891447099</v>
      </c>
      <c r="L16" s="165">
        <v>1.5145562868204701</v>
      </c>
      <c r="M16" s="165">
        <v>1.3471905714191801</v>
      </c>
      <c r="N16" s="165">
        <v>1.2118823642744001</v>
      </c>
      <c r="O16" s="165">
        <v>1.0911272379799399</v>
      </c>
      <c r="P16" s="165">
        <v>0.99055096047994995</v>
      </c>
      <c r="Q16" s="166">
        <v>0.90000513641150004</v>
      </c>
      <c r="R16" s="166">
        <v>0.82541919791820995</v>
      </c>
      <c r="S16" s="166">
        <v>0.75693297152751005</v>
      </c>
      <c r="T16" s="166">
        <v>0.69857700355950003</v>
      </c>
      <c r="U16" s="166">
        <v>0.64679147902311995</v>
      </c>
      <c r="V16" s="166">
        <v>0.60218559183117004</v>
      </c>
      <c r="W16" s="166">
        <v>0.55775008823784</v>
      </c>
      <c r="X16" s="166">
        <v>0.51795484307572004</v>
      </c>
      <c r="Y16" s="166">
        <v>0.48441155667456998</v>
      </c>
      <c r="Z16" s="166">
        <v>0.41008036446194002</v>
      </c>
      <c r="AA16" s="166">
        <v>0.36402694215935</v>
      </c>
      <c r="AB16" s="166">
        <v>0.34187562338380001</v>
      </c>
      <c r="AC16" s="166">
        <v>0.32170506576201002</v>
      </c>
      <c r="AD16" s="166">
        <v>0.304092231273</v>
      </c>
      <c r="AE16" s="166">
        <v>0.23962680907451001</v>
      </c>
      <c r="AF16" s="166" t="s">
        <v>62</v>
      </c>
      <c r="AG16" s="166" t="s">
        <v>62</v>
      </c>
      <c r="AH16" s="166" t="s">
        <v>62</v>
      </c>
      <c r="AI16" s="166" t="s">
        <v>62</v>
      </c>
      <c r="AJ16" s="166" t="s">
        <v>62</v>
      </c>
      <c r="AK16" s="166" t="s">
        <v>62</v>
      </c>
      <c r="AL16" s="166" t="s">
        <v>62</v>
      </c>
      <c r="AM16" s="167" t="s">
        <v>62</v>
      </c>
      <c r="AN16" s="166" t="s">
        <v>62</v>
      </c>
      <c r="AO16" s="165" t="s">
        <v>62</v>
      </c>
      <c r="AP16" s="165" t="s">
        <v>62</v>
      </c>
      <c r="AQ16" s="165" t="s">
        <v>62</v>
      </c>
      <c r="AR16" s="165" t="s">
        <v>62</v>
      </c>
      <c r="AS16" s="165" t="s">
        <v>62</v>
      </c>
      <c r="AT16" s="165" t="s">
        <v>62</v>
      </c>
      <c r="AU16" s="165" t="s">
        <v>62</v>
      </c>
      <c r="AV16" s="165" t="s">
        <v>62</v>
      </c>
      <c r="AW16" s="165" t="s">
        <v>62</v>
      </c>
      <c r="AX16" s="165" t="s">
        <v>62</v>
      </c>
      <c r="AY16" s="165" t="s">
        <v>62</v>
      </c>
      <c r="AZ16" s="165" t="s">
        <v>62</v>
      </c>
      <c r="BA16" s="169" t="s">
        <v>62</v>
      </c>
    </row>
    <row r="17" spans="2:53" ht="17.100000000000001" customHeight="1" x14ac:dyDescent="0.25">
      <c r="B17" s="164" t="s">
        <v>31</v>
      </c>
      <c r="C17" s="165">
        <v>18.6135718177405</v>
      </c>
      <c r="D17" s="165">
        <v>17.835165927157</v>
      </c>
      <c r="E17" s="165">
        <v>15.389320643632299</v>
      </c>
      <c r="F17" s="165">
        <v>13.9030006623634</v>
      </c>
      <c r="G17" s="165">
        <v>12.6222125485547</v>
      </c>
      <c r="H17" s="165">
        <v>11.517252826076099</v>
      </c>
      <c r="I17" s="165">
        <v>10.543538965736101</v>
      </c>
      <c r="J17" s="165">
        <v>9.9019452177704199</v>
      </c>
      <c r="K17" s="165">
        <v>8.3712454009969104</v>
      </c>
      <c r="L17" s="165">
        <v>7.8302688461091599</v>
      </c>
      <c r="M17" s="165">
        <v>7.3343727036334903</v>
      </c>
      <c r="N17" s="165">
        <v>6.9071613509401999</v>
      </c>
      <c r="O17" s="165">
        <v>6.4796745036464101</v>
      </c>
      <c r="P17" s="165">
        <v>6.1121819396544899</v>
      </c>
      <c r="Q17" s="166">
        <v>5.77609130531253</v>
      </c>
      <c r="R17" s="166">
        <v>5.4711030735123396</v>
      </c>
      <c r="S17" s="166">
        <v>5.1605089369031996</v>
      </c>
      <c r="T17" s="166">
        <v>4.8848415368176701</v>
      </c>
      <c r="U17" s="166">
        <v>4.6317874369311101</v>
      </c>
      <c r="V17" s="166" t="s">
        <v>62</v>
      </c>
      <c r="W17" s="166" t="s">
        <v>62</v>
      </c>
      <c r="X17" s="166" t="s">
        <v>62</v>
      </c>
      <c r="Y17" s="166" t="s">
        <v>62</v>
      </c>
      <c r="Z17" s="166" t="s">
        <v>62</v>
      </c>
      <c r="AA17" s="166" t="s">
        <v>62</v>
      </c>
      <c r="AB17" s="166" t="s">
        <v>62</v>
      </c>
      <c r="AC17" s="166" t="s">
        <v>62</v>
      </c>
      <c r="AD17" s="166" t="s">
        <v>62</v>
      </c>
      <c r="AE17" s="166" t="s">
        <v>62</v>
      </c>
      <c r="AF17" s="166" t="s">
        <v>62</v>
      </c>
      <c r="AG17" s="166" t="s">
        <v>62</v>
      </c>
      <c r="AH17" s="166" t="s">
        <v>62</v>
      </c>
      <c r="AI17" s="166" t="s">
        <v>62</v>
      </c>
      <c r="AJ17" s="166" t="s">
        <v>62</v>
      </c>
      <c r="AK17" s="166" t="s">
        <v>62</v>
      </c>
      <c r="AL17" s="166" t="s">
        <v>62</v>
      </c>
      <c r="AM17" s="167" t="s">
        <v>62</v>
      </c>
      <c r="AN17" s="166" t="s">
        <v>62</v>
      </c>
      <c r="AO17" s="165" t="s">
        <v>62</v>
      </c>
      <c r="AP17" s="165" t="s">
        <v>62</v>
      </c>
      <c r="AQ17" s="165" t="s">
        <v>62</v>
      </c>
      <c r="AR17" s="165" t="s">
        <v>62</v>
      </c>
      <c r="AS17" s="165" t="s">
        <v>62</v>
      </c>
      <c r="AT17" s="165" t="s">
        <v>62</v>
      </c>
      <c r="AU17" s="165" t="s">
        <v>62</v>
      </c>
      <c r="AV17" s="165" t="s">
        <v>62</v>
      </c>
      <c r="AW17" s="165" t="s">
        <v>62</v>
      </c>
      <c r="AX17" s="165" t="s">
        <v>62</v>
      </c>
      <c r="AY17" s="165" t="s">
        <v>62</v>
      </c>
      <c r="AZ17" s="165" t="s">
        <v>62</v>
      </c>
      <c r="BA17" s="169" t="s">
        <v>62</v>
      </c>
    </row>
    <row r="18" spans="2:53" ht="17.100000000000001" customHeight="1" x14ac:dyDescent="0.25">
      <c r="B18" s="164" t="s">
        <v>14</v>
      </c>
      <c r="C18" s="165" t="s">
        <v>62</v>
      </c>
      <c r="D18" s="165" t="s">
        <v>62</v>
      </c>
      <c r="E18" s="165">
        <v>1.5391768646346999</v>
      </c>
      <c r="F18" s="165">
        <v>1.4160984158338401</v>
      </c>
      <c r="G18" s="165">
        <v>0.89283900790189996</v>
      </c>
      <c r="H18" s="165">
        <v>0.62013391129285</v>
      </c>
      <c r="I18" s="165">
        <v>0.45799904406738001</v>
      </c>
      <c r="J18" s="165">
        <v>0.35418034378302998</v>
      </c>
      <c r="K18" s="165">
        <v>0.28142876947930001</v>
      </c>
      <c r="L18" s="165">
        <v>0.23005088690407</v>
      </c>
      <c r="M18" s="165">
        <v>0.19188644914711001</v>
      </c>
      <c r="N18" s="165">
        <v>0.16312787107501001</v>
      </c>
      <c r="O18" s="165">
        <v>0.13983351560259999</v>
      </c>
      <c r="P18" s="165">
        <v>0.12162589651133</v>
      </c>
      <c r="Q18" s="166">
        <v>5.084082094852E-2</v>
      </c>
      <c r="R18" s="166" t="s">
        <v>62</v>
      </c>
      <c r="S18" s="166" t="s">
        <v>62</v>
      </c>
      <c r="T18" s="166" t="s">
        <v>62</v>
      </c>
      <c r="U18" s="166" t="s">
        <v>62</v>
      </c>
      <c r="V18" s="166" t="s">
        <v>62</v>
      </c>
      <c r="W18" s="166" t="s">
        <v>62</v>
      </c>
      <c r="X18" s="166" t="s">
        <v>62</v>
      </c>
      <c r="Y18" s="166" t="s">
        <v>62</v>
      </c>
      <c r="Z18" s="166" t="s">
        <v>62</v>
      </c>
      <c r="AA18" s="166" t="s">
        <v>62</v>
      </c>
      <c r="AB18" s="166" t="s">
        <v>62</v>
      </c>
      <c r="AC18" s="166" t="s">
        <v>62</v>
      </c>
      <c r="AD18" s="166" t="s">
        <v>62</v>
      </c>
      <c r="AE18" s="166" t="s">
        <v>62</v>
      </c>
      <c r="AF18" s="166" t="s">
        <v>62</v>
      </c>
      <c r="AG18" s="166" t="s">
        <v>62</v>
      </c>
      <c r="AH18" s="166" t="s">
        <v>62</v>
      </c>
      <c r="AI18" s="166" t="s">
        <v>62</v>
      </c>
      <c r="AJ18" s="166" t="s">
        <v>62</v>
      </c>
      <c r="AK18" s="166" t="s">
        <v>62</v>
      </c>
      <c r="AL18" s="166" t="s">
        <v>62</v>
      </c>
      <c r="AM18" s="167" t="s">
        <v>62</v>
      </c>
      <c r="AN18" s="166" t="s">
        <v>62</v>
      </c>
      <c r="AO18" s="165" t="s">
        <v>62</v>
      </c>
      <c r="AP18" s="165" t="s">
        <v>62</v>
      </c>
      <c r="AQ18" s="165" t="s">
        <v>62</v>
      </c>
      <c r="AR18" s="165" t="s">
        <v>62</v>
      </c>
      <c r="AS18" s="165" t="s">
        <v>62</v>
      </c>
      <c r="AT18" s="165" t="s">
        <v>62</v>
      </c>
      <c r="AU18" s="165" t="s">
        <v>62</v>
      </c>
      <c r="AV18" s="165" t="s">
        <v>62</v>
      </c>
      <c r="AW18" s="165" t="s">
        <v>62</v>
      </c>
      <c r="AX18" s="165" t="s">
        <v>62</v>
      </c>
      <c r="AY18" s="165" t="s">
        <v>62</v>
      </c>
      <c r="AZ18" s="165" t="s">
        <v>62</v>
      </c>
      <c r="BA18" s="169" t="s">
        <v>62</v>
      </c>
    </row>
    <row r="19" spans="2:53" ht="17.100000000000001" customHeight="1" x14ac:dyDescent="0.25">
      <c r="B19" s="164" t="s">
        <v>18</v>
      </c>
      <c r="C19" s="165">
        <v>2.4721399950000001E-5</v>
      </c>
      <c r="D19" s="165">
        <v>2.4721399950000001E-5</v>
      </c>
      <c r="E19" s="165">
        <v>2.4721399950000001E-5</v>
      </c>
      <c r="F19" s="165">
        <v>2.4721399950000001E-5</v>
      </c>
      <c r="G19" s="165">
        <v>2.4721399950000001E-5</v>
      </c>
      <c r="H19" s="165">
        <v>2.4721399950000001E-5</v>
      </c>
      <c r="I19" s="165">
        <v>2.4721399950000001E-5</v>
      </c>
      <c r="J19" s="165">
        <v>2.4721399950000001E-5</v>
      </c>
      <c r="K19" s="165">
        <v>2.4721399950000001E-5</v>
      </c>
      <c r="L19" s="165">
        <v>2.4721399950000001E-5</v>
      </c>
      <c r="M19" s="165">
        <v>2.4721399950000001E-5</v>
      </c>
      <c r="N19" s="165" t="s">
        <v>62</v>
      </c>
      <c r="O19" s="165" t="s">
        <v>62</v>
      </c>
      <c r="P19" s="165" t="s">
        <v>62</v>
      </c>
      <c r="Q19" s="166" t="s">
        <v>62</v>
      </c>
      <c r="R19" s="166" t="s">
        <v>62</v>
      </c>
      <c r="S19" s="166" t="s">
        <v>62</v>
      </c>
      <c r="T19" s="166" t="s">
        <v>62</v>
      </c>
      <c r="U19" s="166" t="s">
        <v>62</v>
      </c>
      <c r="V19" s="166" t="s">
        <v>62</v>
      </c>
      <c r="W19" s="166" t="s">
        <v>62</v>
      </c>
      <c r="X19" s="166" t="s">
        <v>62</v>
      </c>
      <c r="Y19" s="166" t="s">
        <v>62</v>
      </c>
      <c r="Z19" s="166" t="s">
        <v>62</v>
      </c>
      <c r="AA19" s="166" t="s">
        <v>62</v>
      </c>
      <c r="AB19" s="166" t="s">
        <v>62</v>
      </c>
      <c r="AC19" s="166" t="s">
        <v>62</v>
      </c>
      <c r="AD19" s="166" t="s">
        <v>62</v>
      </c>
      <c r="AE19" s="166" t="s">
        <v>62</v>
      </c>
      <c r="AF19" s="166" t="s">
        <v>62</v>
      </c>
      <c r="AG19" s="166" t="s">
        <v>62</v>
      </c>
      <c r="AH19" s="166" t="s">
        <v>62</v>
      </c>
      <c r="AI19" s="166" t="s">
        <v>62</v>
      </c>
      <c r="AJ19" s="166" t="s">
        <v>62</v>
      </c>
      <c r="AK19" s="166" t="s">
        <v>62</v>
      </c>
      <c r="AL19" s="166" t="s">
        <v>62</v>
      </c>
      <c r="AM19" s="167" t="s">
        <v>62</v>
      </c>
      <c r="AN19" s="166" t="s">
        <v>62</v>
      </c>
      <c r="AO19" s="165" t="s">
        <v>62</v>
      </c>
      <c r="AP19" s="165" t="s">
        <v>62</v>
      </c>
      <c r="AQ19" s="165" t="s">
        <v>62</v>
      </c>
      <c r="AR19" s="165" t="s">
        <v>62</v>
      </c>
      <c r="AS19" s="165" t="s">
        <v>62</v>
      </c>
      <c r="AT19" s="165" t="s">
        <v>62</v>
      </c>
      <c r="AU19" s="165" t="s">
        <v>62</v>
      </c>
      <c r="AV19" s="165" t="s">
        <v>62</v>
      </c>
      <c r="AW19" s="165" t="s">
        <v>62</v>
      </c>
      <c r="AX19" s="165" t="s">
        <v>62</v>
      </c>
      <c r="AY19" s="165" t="s">
        <v>62</v>
      </c>
      <c r="AZ19" s="165" t="s">
        <v>62</v>
      </c>
      <c r="BA19" s="169" t="s">
        <v>62</v>
      </c>
    </row>
    <row r="20" spans="2:53" ht="17.100000000000001" customHeight="1" x14ac:dyDescent="0.25">
      <c r="B20" s="164" t="s">
        <v>16</v>
      </c>
      <c r="C20" s="165">
        <v>1.506625723477E-2</v>
      </c>
      <c r="D20" s="165">
        <v>9.9478197956799994E-3</v>
      </c>
      <c r="E20" s="165">
        <v>5.0064837934699997E-3</v>
      </c>
      <c r="F20" s="165">
        <v>1.07645210953E-3</v>
      </c>
      <c r="G20" s="165">
        <v>5.2748851281370003E-2</v>
      </c>
      <c r="H20" s="165">
        <v>3.1838180856669999E-2</v>
      </c>
      <c r="I20" s="165">
        <v>1.2146341614090001E-2</v>
      </c>
      <c r="J20" s="165" t="s">
        <v>62</v>
      </c>
      <c r="K20" s="165" t="s">
        <v>62</v>
      </c>
      <c r="L20" s="165" t="s">
        <v>62</v>
      </c>
      <c r="M20" s="165" t="s">
        <v>62</v>
      </c>
      <c r="N20" s="165" t="s">
        <v>62</v>
      </c>
      <c r="O20" s="165" t="s">
        <v>62</v>
      </c>
      <c r="P20" s="165" t="s">
        <v>62</v>
      </c>
      <c r="Q20" s="166" t="s">
        <v>62</v>
      </c>
      <c r="R20" s="166" t="s">
        <v>62</v>
      </c>
      <c r="S20" s="166" t="s">
        <v>62</v>
      </c>
      <c r="T20" s="166" t="s">
        <v>62</v>
      </c>
      <c r="U20" s="166" t="s">
        <v>62</v>
      </c>
      <c r="V20" s="166" t="s">
        <v>62</v>
      </c>
      <c r="W20" s="166" t="s">
        <v>62</v>
      </c>
      <c r="X20" s="166" t="s">
        <v>62</v>
      </c>
      <c r="Y20" s="166" t="s">
        <v>62</v>
      </c>
      <c r="Z20" s="166" t="s">
        <v>62</v>
      </c>
      <c r="AA20" s="166" t="s">
        <v>62</v>
      </c>
      <c r="AB20" s="166" t="s">
        <v>62</v>
      </c>
      <c r="AC20" s="166" t="s">
        <v>62</v>
      </c>
      <c r="AD20" s="166" t="s">
        <v>62</v>
      </c>
      <c r="AE20" s="166" t="s">
        <v>62</v>
      </c>
      <c r="AF20" s="166" t="s">
        <v>62</v>
      </c>
      <c r="AG20" s="166" t="s">
        <v>62</v>
      </c>
      <c r="AH20" s="166" t="s">
        <v>62</v>
      </c>
      <c r="AI20" s="166" t="s">
        <v>62</v>
      </c>
      <c r="AJ20" s="166" t="s">
        <v>62</v>
      </c>
      <c r="AK20" s="166" t="s">
        <v>62</v>
      </c>
      <c r="AL20" s="166" t="s">
        <v>62</v>
      </c>
      <c r="AM20" s="167" t="s">
        <v>62</v>
      </c>
      <c r="AN20" s="166" t="s">
        <v>62</v>
      </c>
      <c r="AO20" s="165" t="s">
        <v>62</v>
      </c>
      <c r="AP20" s="165" t="s">
        <v>62</v>
      </c>
      <c r="AQ20" s="165" t="s">
        <v>62</v>
      </c>
      <c r="AR20" s="165" t="s">
        <v>62</v>
      </c>
      <c r="AS20" s="165" t="s">
        <v>62</v>
      </c>
      <c r="AT20" s="165" t="s">
        <v>62</v>
      </c>
      <c r="AU20" s="165" t="s">
        <v>62</v>
      </c>
      <c r="AV20" s="165" t="s">
        <v>62</v>
      </c>
      <c r="AW20" s="165" t="s">
        <v>62</v>
      </c>
      <c r="AX20" s="165" t="s">
        <v>62</v>
      </c>
      <c r="AY20" s="165" t="s">
        <v>62</v>
      </c>
      <c r="AZ20" s="165" t="s">
        <v>62</v>
      </c>
      <c r="BA20" s="169" t="s">
        <v>62</v>
      </c>
    </row>
    <row r="21" spans="2:53" ht="17.100000000000001" customHeight="1" x14ac:dyDescent="0.25">
      <c r="B21" s="164" t="s">
        <v>24</v>
      </c>
      <c r="C21" s="165">
        <v>0.48636058597004</v>
      </c>
      <c r="D21" s="165">
        <v>0.50717952802032995</v>
      </c>
      <c r="E21" s="165">
        <v>0.44221439559834003</v>
      </c>
      <c r="F21" s="165">
        <v>0.39004162515905999</v>
      </c>
      <c r="G21" s="165">
        <v>0.34489211227890998</v>
      </c>
      <c r="H21" s="165">
        <v>0.30802001009345997</v>
      </c>
      <c r="I21" s="165">
        <v>0.27666618170446999</v>
      </c>
      <c r="J21" s="165">
        <v>0.25032896585770997</v>
      </c>
      <c r="K21" s="165">
        <v>0.22675088690919001</v>
      </c>
      <c r="L21" s="165">
        <v>0.20668443674024001</v>
      </c>
      <c r="M21" s="165">
        <v>0.18912629284240001</v>
      </c>
      <c r="N21" s="165">
        <v>0.17432728584279999</v>
      </c>
      <c r="O21" s="165">
        <v>0.16028077072453001</v>
      </c>
      <c r="P21" s="165">
        <v>0.14824090062315001</v>
      </c>
      <c r="Q21" s="166">
        <v>0.13745518365734</v>
      </c>
      <c r="R21" s="166">
        <v>0.12820893966543001</v>
      </c>
      <c r="S21" s="166">
        <v>0.11922281493499</v>
      </c>
      <c r="T21" s="166">
        <v>0.11144362008503</v>
      </c>
      <c r="U21" s="166">
        <v>0.10440174976463</v>
      </c>
      <c r="V21" s="166">
        <v>9.8267144733619999E-2</v>
      </c>
      <c r="W21" s="166">
        <v>9.2166861894990001E-2</v>
      </c>
      <c r="X21" s="166">
        <v>8.6847668445039994E-2</v>
      </c>
      <c r="Y21" s="166">
        <v>8.1976037134009999E-2</v>
      </c>
      <c r="Z21" s="166">
        <v>7.7709655611249998E-2</v>
      </c>
      <c r="AA21" s="166">
        <v>7.3375757632350005E-2</v>
      </c>
      <c r="AB21" s="166">
        <v>6.9579529400000006E-2</v>
      </c>
      <c r="AC21" s="166">
        <v>6.607047953214E-2</v>
      </c>
      <c r="AD21" s="166">
        <v>6.2988220365970002E-2</v>
      </c>
      <c r="AE21" s="166">
        <v>5.9796328898410002E-2</v>
      </c>
      <c r="AF21" s="166">
        <v>5.6992933312269997E-2</v>
      </c>
      <c r="AG21" s="166">
        <v>5.4382167244930002E-2</v>
      </c>
      <c r="AH21" s="166">
        <v>5.2085902149420001E-2</v>
      </c>
      <c r="AI21" s="166">
        <v>4.9665373429190002E-2</v>
      </c>
      <c r="AJ21" s="166">
        <v>4.7536675107050001E-2</v>
      </c>
      <c r="AK21" s="166">
        <v>4.5541961977669999E-2</v>
      </c>
      <c r="AL21" s="166">
        <v>4.3787399985200003E-2</v>
      </c>
      <c r="AM21" s="167">
        <v>4.1906875483249999E-2</v>
      </c>
      <c r="AN21" s="166">
        <v>4.0252615650880001E-2</v>
      </c>
      <c r="AO21" s="165">
        <v>3.8694412025320001E-2</v>
      </c>
      <c r="AP21" s="165">
        <v>3.7325013349110002E-2</v>
      </c>
      <c r="AQ21" s="165">
        <v>3.5833976782109998E-2</v>
      </c>
      <c r="AR21" s="165">
        <v>3.45230131632E-2</v>
      </c>
      <c r="AS21" s="165">
        <v>3.3282698478749997E-2</v>
      </c>
      <c r="AT21" s="165">
        <v>3.2194456383590003E-2</v>
      </c>
      <c r="AU21" s="165">
        <v>3.099152963451E-2</v>
      </c>
      <c r="AV21" s="165">
        <v>2.993507630805E-2</v>
      </c>
      <c r="AW21" s="165">
        <v>2.8931736868530001E-2</v>
      </c>
      <c r="AX21" s="165">
        <v>2.8053395026110001E-2</v>
      </c>
      <c r="AY21" s="165">
        <v>2.7068252052489999E-2</v>
      </c>
      <c r="AZ21" s="165">
        <v>2.6204467625229998E-2</v>
      </c>
      <c r="BA21" s="169">
        <v>2.538138071805E-2</v>
      </c>
    </row>
    <row r="22" spans="2:53" ht="17.100000000000001" customHeight="1" x14ac:dyDescent="0.25">
      <c r="B22" s="164" t="s">
        <v>64</v>
      </c>
      <c r="C22" s="165">
        <v>24.143010218505101</v>
      </c>
      <c r="D22" s="165">
        <v>24.275538569881299</v>
      </c>
      <c r="E22" s="165">
        <v>26.753957301969798</v>
      </c>
      <c r="F22" s="165">
        <v>28.801794570557</v>
      </c>
      <c r="G22" s="165">
        <v>28.782277005080999</v>
      </c>
      <c r="H22" s="165">
        <v>28.5315846026913</v>
      </c>
      <c r="I22" s="165">
        <v>28.242249575956301</v>
      </c>
      <c r="J22" s="165">
        <v>28.545818029385199</v>
      </c>
      <c r="K22" s="165">
        <v>26.4925114083184</v>
      </c>
      <c r="L22" s="165">
        <v>23.2960349581722</v>
      </c>
      <c r="M22" s="165">
        <v>20.405798660461599</v>
      </c>
      <c r="N22" s="165">
        <v>16.802186009558</v>
      </c>
      <c r="O22" s="165">
        <v>13.7864180681549</v>
      </c>
      <c r="P22" s="165">
        <v>11.712902218848001</v>
      </c>
      <c r="Q22" s="166">
        <v>10.0035396076678</v>
      </c>
      <c r="R22" s="166">
        <v>8.7042505331915798</v>
      </c>
      <c r="S22" s="166">
        <v>7.6532444814364498</v>
      </c>
      <c r="T22" s="166">
        <v>6.8399115332163101</v>
      </c>
      <c r="U22" s="166">
        <v>6.1502826877264303</v>
      </c>
      <c r="V22" s="166">
        <v>5.5284442291282199</v>
      </c>
      <c r="W22" s="166">
        <v>4.9928464847357796</v>
      </c>
      <c r="X22" s="166">
        <v>4.5048071333828599</v>
      </c>
      <c r="Y22" s="166">
        <v>3.9933154264822601</v>
      </c>
      <c r="Z22" s="166">
        <v>3.6522036188867499</v>
      </c>
      <c r="AA22" s="166">
        <v>3.23861422513176</v>
      </c>
      <c r="AB22" s="166">
        <v>2.6869078082581002</v>
      </c>
      <c r="AC22" s="166">
        <v>2.3616211897945498</v>
      </c>
      <c r="AD22" s="166">
        <v>1.94116664842506</v>
      </c>
      <c r="AE22" s="166">
        <v>1.3904314880627699</v>
      </c>
      <c r="AF22" s="166">
        <v>1.02491460121797</v>
      </c>
      <c r="AG22" s="166">
        <v>6.6937750315549993E-2</v>
      </c>
      <c r="AH22" s="166" t="s">
        <v>62</v>
      </c>
      <c r="AI22" s="166" t="s">
        <v>62</v>
      </c>
      <c r="AJ22" s="166" t="s">
        <v>62</v>
      </c>
      <c r="AK22" s="166" t="s">
        <v>62</v>
      </c>
      <c r="AL22" s="166" t="s">
        <v>62</v>
      </c>
      <c r="AM22" s="167" t="s">
        <v>62</v>
      </c>
      <c r="AN22" s="166" t="s">
        <v>62</v>
      </c>
      <c r="AO22" s="165" t="s">
        <v>62</v>
      </c>
      <c r="AP22" s="165" t="s">
        <v>62</v>
      </c>
      <c r="AQ22" s="165" t="s">
        <v>62</v>
      </c>
      <c r="AR22" s="165" t="s">
        <v>62</v>
      </c>
      <c r="AS22" s="165" t="s">
        <v>62</v>
      </c>
      <c r="AT22" s="165" t="s">
        <v>62</v>
      </c>
      <c r="AU22" s="165" t="s">
        <v>62</v>
      </c>
      <c r="AV22" s="165" t="s">
        <v>62</v>
      </c>
      <c r="AW22" s="165" t="s">
        <v>62</v>
      </c>
      <c r="AX22" s="165" t="s">
        <v>62</v>
      </c>
      <c r="AY22" s="165" t="s">
        <v>62</v>
      </c>
      <c r="AZ22" s="165" t="s">
        <v>62</v>
      </c>
      <c r="BA22" s="169" t="s">
        <v>62</v>
      </c>
    </row>
    <row r="23" spans="2:53" ht="17.100000000000001" customHeight="1" x14ac:dyDescent="0.25">
      <c r="B23" s="164" t="s">
        <v>28</v>
      </c>
      <c r="C23" s="165">
        <v>0.13260985065875</v>
      </c>
      <c r="D23" s="165">
        <v>0.14204699403116999</v>
      </c>
      <c r="E23" s="165">
        <v>0.12612999904908001</v>
      </c>
      <c r="F23" s="165">
        <v>0.11351554065666999</v>
      </c>
      <c r="G23" s="165">
        <v>0.1024878124872</v>
      </c>
      <c r="H23" s="165">
        <v>9.344750272815E-2</v>
      </c>
      <c r="I23" s="165">
        <v>8.5692683016559995E-2</v>
      </c>
      <c r="J23" s="165">
        <v>7.9163138654199994E-2</v>
      </c>
      <c r="K23" s="165">
        <v>7.3023573013950002E-2</v>
      </c>
      <c r="L23" s="165">
        <v>6.7782373167450005E-2</v>
      </c>
      <c r="M23" s="165">
        <v>6.3101899258310001E-2</v>
      </c>
      <c r="N23" s="165">
        <v>5.9050450172619999E-2</v>
      </c>
      <c r="O23" s="165">
        <v>5.5080863906789998E-2</v>
      </c>
      <c r="P23" s="165">
        <v>5.0990848244490003E-2</v>
      </c>
      <c r="Q23" s="166">
        <v>4.560177860096E-2</v>
      </c>
      <c r="R23" s="166">
        <v>4.2719243952899999E-2</v>
      </c>
      <c r="S23" s="166">
        <v>4.02847352167E-2</v>
      </c>
      <c r="T23" s="166">
        <v>3.8129709089560003E-2</v>
      </c>
      <c r="U23" s="166">
        <v>3.6120141150359997E-2</v>
      </c>
      <c r="V23" s="166">
        <v>3.4334978077370001E-2</v>
      </c>
      <c r="W23" s="166">
        <v>3.248444642803E-2</v>
      </c>
      <c r="X23" s="166">
        <v>3.0586353709649999E-2</v>
      </c>
      <c r="Y23" s="166">
        <v>2.8351968856389999E-2</v>
      </c>
      <c r="Z23" s="166">
        <v>2.707366167664E-2</v>
      </c>
      <c r="AA23" s="166">
        <v>2.5724754177809998E-2</v>
      </c>
      <c r="AB23" s="166">
        <v>2.4523658174010001E-2</v>
      </c>
      <c r="AC23" s="166">
        <v>2.3389844992659999E-2</v>
      </c>
      <c r="AD23" s="166">
        <v>2.23786584192E-2</v>
      </c>
      <c r="AE23" s="166">
        <v>2.1304147131259998E-2</v>
      </c>
      <c r="AF23" s="166">
        <v>2.034728037229E-2</v>
      </c>
      <c r="AG23" s="166">
        <v>1.9441987794500001E-2</v>
      </c>
      <c r="AH23" s="166">
        <v>1.8634816724230001E-2</v>
      </c>
      <c r="AI23" s="166">
        <v>1.7771249941659999E-2</v>
      </c>
      <c r="AJ23" s="166">
        <v>1.7002285616639998E-2</v>
      </c>
      <c r="AK23" s="166">
        <v>1.627326149487E-2</v>
      </c>
      <c r="AL23" s="166">
        <v>1.5623535635090001E-2</v>
      </c>
      <c r="AM23" s="167">
        <v>1.492378999739E-2</v>
      </c>
      <c r="AN23" s="166">
        <v>1.4300838836219999E-2</v>
      </c>
      <c r="AO23" s="165">
        <v>1.3709111705259999E-2</v>
      </c>
      <c r="AP23" s="165">
        <v>1.3182058522569999E-2</v>
      </c>
      <c r="AQ23" s="165">
        <v>1.2610734769639999E-2</v>
      </c>
      <c r="AR23" s="165">
        <v>1.21022932819E-2</v>
      </c>
      <c r="AS23" s="165">
        <v>1.1618475834819999E-2</v>
      </c>
      <c r="AT23" s="165">
        <v>1.1187851345049999E-2</v>
      </c>
      <c r="AU23" s="165">
        <v>1.071807575063E-2</v>
      </c>
      <c r="AV23" s="165">
        <v>1.030020553861E-2</v>
      </c>
      <c r="AW23" s="165">
        <v>9.9019125001500001E-3</v>
      </c>
      <c r="AX23" s="165">
        <v>9.5477115312799996E-3</v>
      </c>
      <c r="AY23" s="165">
        <v>9.1588836469000002E-3</v>
      </c>
      <c r="AZ23" s="165">
        <v>8.8132197131699994E-3</v>
      </c>
      <c r="BA23" s="169">
        <v>8.4832388955499993E-3</v>
      </c>
    </row>
    <row r="24" spans="2:53" ht="17.100000000000001" customHeight="1" thickBot="1" x14ac:dyDescent="0.3">
      <c r="B24" s="170" t="s">
        <v>47</v>
      </c>
      <c r="C24" s="171">
        <v>106.7840572401</v>
      </c>
      <c r="D24" s="171">
        <v>99.953286732507493</v>
      </c>
      <c r="E24" s="171">
        <v>94.8261587974674</v>
      </c>
      <c r="F24" s="171">
        <v>80.616292855521095</v>
      </c>
      <c r="G24" s="171">
        <v>73.794869173148598</v>
      </c>
      <c r="H24" s="171">
        <v>66.806032506298394</v>
      </c>
      <c r="I24" s="171">
        <v>60.551969245529598</v>
      </c>
      <c r="J24" s="171">
        <v>56.210577751439097</v>
      </c>
      <c r="K24" s="171">
        <v>50.428543216780902</v>
      </c>
      <c r="L24" s="171">
        <v>43.799403525471</v>
      </c>
      <c r="M24" s="171">
        <v>34.862271007322299</v>
      </c>
      <c r="N24" s="171">
        <v>29.378256090246602</v>
      </c>
      <c r="O24" s="171">
        <v>24.956126359910598</v>
      </c>
      <c r="P24" s="171">
        <v>21.8654801018338</v>
      </c>
      <c r="Q24" s="171">
        <v>17.2464641375262</v>
      </c>
      <c r="R24" s="171">
        <v>15.4813259096997</v>
      </c>
      <c r="S24" s="171">
        <v>14.0200404853856</v>
      </c>
      <c r="T24" s="171">
        <v>12.8411464821863</v>
      </c>
      <c r="U24" s="171">
        <v>11.8209705807791</v>
      </c>
      <c r="V24" s="171">
        <v>6.5012483287554099</v>
      </c>
      <c r="W24" s="171">
        <v>5.8995615881899797</v>
      </c>
      <c r="X24" s="171">
        <v>5.3524859683622497</v>
      </c>
      <c r="Y24" s="171">
        <v>4.7892429563460501</v>
      </c>
      <c r="Z24" s="171">
        <v>4.3584815595707296</v>
      </c>
      <c r="AA24" s="171">
        <v>3.88311794382762</v>
      </c>
      <c r="AB24" s="171">
        <v>3.2954310611061701</v>
      </c>
      <c r="AC24" s="171">
        <v>2.93711977840286</v>
      </c>
      <c r="AD24" s="171">
        <v>2.4877187177273998</v>
      </c>
      <c r="AE24" s="171">
        <v>1.81312606372101</v>
      </c>
      <c r="AF24" s="171">
        <v>1.10718705230332</v>
      </c>
      <c r="AG24" s="171">
        <v>0.14076190535498001</v>
      </c>
      <c r="AH24" s="171">
        <v>7.0720718873659993E-2</v>
      </c>
      <c r="AI24" s="171">
        <v>6.7436623370850005E-2</v>
      </c>
      <c r="AJ24" s="171">
        <v>6.4538960723690003E-2</v>
      </c>
      <c r="AK24" s="171">
        <v>6.1815223472540003E-2</v>
      </c>
      <c r="AL24" s="171">
        <v>5.9410935620289998E-2</v>
      </c>
      <c r="AM24" s="171">
        <v>5.6830665480640002E-2</v>
      </c>
      <c r="AN24" s="173">
        <v>5.45534544871E-2</v>
      </c>
      <c r="AO24" s="171">
        <v>5.240352373058E-2</v>
      </c>
      <c r="AP24" s="171">
        <v>5.050707187168E-2</v>
      </c>
      <c r="AQ24" s="171">
        <v>4.8444711551750001E-2</v>
      </c>
      <c r="AR24" s="171">
        <v>4.6625306445099997E-2</v>
      </c>
      <c r="AS24" s="171">
        <v>4.4901174313579997E-2</v>
      </c>
      <c r="AT24" s="171">
        <v>4.3382307728639997E-2</v>
      </c>
      <c r="AU24" s="171">
        <v>4.170960538514E-2</v>
      </c>
      <c r="AV24" s="171">
        <v>4.0235281846659997E-2</v>
      </c>
      <c r="AW24" s="171">
        <v>3.8833649368680001E-2</v>
      </c>
      <c r="AX24" s="171">
        <v>3.7601106557379999E-2</v>
      </c>
      <c r="AY24" s="171">
        <v>3.6227135699389998E-2</v>
      </c>
      <c r="AZ24" s="171">
        <v>3.5017687338400001E-2</v>
      </c>
      <c r="BA24" s="172">
        <v>3.3864619613589997E-2</v>
      </c>
    </row>
    <row r="25" spans="2:53" ht="15" customHeight="1" x14ac:dyDescent="0.25"/>
    <row r="26" spans="2:53" ht="21" customHeight="1" x14ac:dyDescent="0.35">
      <c r="B26" s="330" t="s">
        <v>78</v>
      </c>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row>
    <row r="27" spans="2:53" ht="15" customHeight="1" thickBot="1" x14ac:dyDescent="0.3"/>
    <row r="28" spans="2:53" ht="17.100000000000001" customHeight="1" x14ac:dyDescent="0.25">
      <c r="B28" s="175" t="s">
        <v>7</v>
      </c>
      <c r="C28" s="180">
        <v>2025</v>
      </c>
      <c r="D28" s="181">
        <v>2026</v>
      </c>
      <c r="E28" s="181">
        <v>2027</v>
      </c>
      <c r="F28" s="181">
        <v>2028</v>
      </c>
      <c r="G28" s="181">
        <v>2029</v>
      </c>
      <c r="H28" s="181">
        <v>2030</v>
      </c>
      <c r="I28" s="181">
        <v>2031</v>
      </c>
      <c r="J28" s="181">
        <v>2032</v>
      </c>
      <c r="K28" s="181">
        <v>2033</v>
      </c>
      <c r="L28" s="181">
        <v>2034</v>
      </c>
      <c r="M28" s="181">
        <v>2035</v>
      </c>
      <c r="N28" s="181">
        <v>2036</v>
      </c>
      <c r="O28" s="181">
        <v>2037</v>
      </c>
      <c r="P28" s="184">
        <v>2038</v>
      </c>
    </row>
    <row r="29" spans="2:53" ht="17.100000000000001" customHeight="1" x14ac:dyDescent="0.25">
      <c r="B29" s="176" t="s">
        <v>32</v>
      </c>
      <c r="C29" s="182">
        <v>1.4781422200000001</v>
      </c>
      <c r="D29" s="183">
        <v>1.329191775</v>
      </c>
      <c r="E29" s="183">
        <v>1.3767694150000001</v>
      </c>
      <c r="F29" s="183">
        <v>1.1775426950000001</v>
      </c>
      <c r="G29" s="183">
        <v>1.0501869399999999</v>
      </c>
      <c r="H29" s="183">
        <v>0.96515147999999995</v>
      </c>
      <c r="I29" s="183">
        <v>0.84418515500000002</v>
      </c>
      <c r="J29" s="183">
        <v>0.76388328500000002</v>
      </c>
      <c r="K29" s="183">
        <v>0.64724380000000004</v>
      </c>
      <c r="L29" s="183">
        <v>0.59352409500000003</v>
      </c>
      <c r="M29" s="183">
        <v>0.51266400499999998</v>
      </c>
      <c r="N29" s="183">
        <v>0.46727340499999998</v>
      </c>
      <c r="O29" s="183">
        <v>0.36643301499999997</v>
      </c>
      <c r="P29" s="185">
        <v>0.303775405</v>
      </c>
    </row>
    <row r="30" spans="2:53" ht="17.100000000000001" customHeight="1" x14ac:dyDescent="0.25">
      <c r="B30" s="177" t="s">
        <v>27</v>
      </c>
      <c r="C30" s="2">
        <v>3.1542021285600002</v>
      </c>
      <c r="D30" s="2">
        <v>3.1223782982200001</v>
      </c>
      <c r="E30" s="2">
        <v>2.5172718385100001</v>
      </c>
      <c r="F30" s="2">
        <v>2.0419756657099999</v>
      </c>
      <c r="G30" s="2">
        <v>1.99671899535</v>
      </c>
      <c r="H30" s="2">
        <v>1.7952359740399999</v>
      </c>
      <c r="I30" s="2">
        <v>1.62151214104</v>
      </c>
      <c r="J30" s="2">
        <v>1.36097522812</v>
      </c>
      <c r="K30" s="2">
        <v>1.33569878288</v>
      </c>
      <c r="L30" s="2">
        <v>1.20211993495</v>
      </c>
      <c r="M30" s="2">
        <v>0.19208097394000001</v>
      </c>
      <c r="N30" s="3" t="s">
        <v>62</v>
      </c>
      <c r="O30" s="3" t="s">
        <v>62</v>
      </c>
      <c r="P30" s="186" t="s">
        <v>62</v>
      </c>
    </row>
    <row r="31" spans="2:53" ht="17.100000000000001" customHeight="1" x14ac:dyDescent="0.25">
      <c r="B31" s="177" t="s">
        <v>26</v>
      </c>
      <c r="C31" s="2">
        <v>0.375</v>
      </c>
      <c r="D31" s="2">
        <v>0.36499999999999999</v>
      </c>
      <c r="E31" s="2">
        <v>0.3</v>
      </c>
      <c r="F31" s="2">
        <v>0.27</v>
      </c>
      <c r="G31" s="2" t="s">
        <v>62</v>
      </c>
      <c r="H31" s="2" t="s">
        <v>62</v>
      </c>
      <c r="I31" s="2" t="s">
        <v>62</v>
      </c>
      <c r="J31" s="2" t="s">
        <v>62</v>
      </c>
      <c r="K31" s="2" t="s">
        <v>62</v>
      </c>
      <c r="L31" s="2" t="s">
        <v>62</v>
      </c>
      <c r="M31" s="2" t="s">
        <v>62</v>
      </c>
      <c r="N31" s="3" t="s">
        <v>62</v>
      </c>
      <c r="O31" s="3" t="s">
        <v>62</v>
      </c>
      <c r="P31" s="186" t="s">
        <v>62</v>
      </c>
    </row>
    <row r="32" spans="2:53" ht="17.100000000000001" customHeight="1" x14ac:dyDescent="0.25">
      <c r="B32" s="178" t="s">
        <v>33</v>
      </c>
      <c r="C32" s="2">
        <v>0.74141831257199997</v>
      </c>
      <c r="D32" s="2">
        <v>0.52222900042200004</v>
      </c>
      <c r="E32" s="2">
        <v>0.38434770526500001</v>
      </c>
      <c r="F32" s="2" t="s">
        <v>62</v>
      </c>
      <c r="G32" s="2" t="s">
        <v>62</v>
      </c>
      <c r="H32" s="2" t="s">
        <v>62</v>
      </c>
      <c r="I32" s="2" t="s">
        <v>62</v>
      </c>
      <c r="J32" s="2" t="s">
        <v>62</v>
      </c>
      <c r="K32" s="2" t="s">
        <v>62</v>
      </c>
      <c r="L32" s="2" t="s">
        <v>62</v>
      </c>
      <c r="M32" s="2" t="s">
        <v>62</v>
      </c>
      <c r="N32" s="3" t="s">
        <v>62</v>
      </c>
      <c r="O32" s="3" t="s">
        <v>62</v>
      </c>
      <c r="P32" s="186" t="s">
        <v>62</v>
      </c>
    </row>
    <row r="33" spans="2:55" ht="17.100000000000001" customHeight="1" thickBot="1" x14ac:dyDescent="0.3">
      <c r="B33" s="179" t="s">
        <v>47</v>
      </c>
      <c r="C33" s="187">
        <v>5.748762661132</v>
      </c>
      <c r="D33" s="188">
        <v>5.3387990736419999</v>
      </c>
      <c r="E33" s="188">
        <v>4.5783889587750002</v>
      </c>
      <c r="F33" s="188">
        <v>3.48951836071</v>
      </c>
      <c r="G33" s="188">
        <v>3.0469059353499999</v>
      </c>
      <c r="H33" s="188">
        <v>2.76038745404</v>
      </c>
      <c r="I33" s="188">
        <v>2.4656972960400001</v>
      </c>
      <c r="J33" s="188">
        <v>2.12485851312</v>
      </c>
      <c r="K33" s="188">
        <v>1.98294258288</v>
      </c>
      <c r="L33" s="188">
        <v>1.7956440299500001</v>
      </c>
      <c r="M33" s="188">
        <v>0.70474497893999999</v>
      </c>
      <c r="N33" s="188">
        <v>0.46727340499999998</v>
      </c>
      <c r="O33" s="188">
        <v>0.36643301499999997</v>
      </c>
      <c r="P33" s="189">
        <v>0.303775405</v>
      </c>
    </row>
    <row r="35" spans="2:55" ht="17.100000000000001" customHeight="1" x14ac:dyDescent="0.25">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1"/>
      <c r="BC35" s="1"/>
    </row>
    <row r="36" spans="2:55" ht="17.100000000000001" customHeight="1" x14ac:dyDescent="0.25">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1"/>
      <c r="BC36" s="1"/>
    </row>
    <row r="41" spans="2:55" ht="12" customHeight="1" x14ac:dyDescent="0.25">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row>
  </sheetData>
  <mergeCells count="4">
    <mergeCell ref="B2:BA2"/>
    <mergeCell ref="B26:BA26"/>
    <mergeCell ref="B35:BA35"/>
    <mergeCell ref="B36:BA36"/>
  </mergeCells>
  <pageMargins left="0.05" right="0.05" top="0.5" bottom="0.5" header="0" footer="0"/>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4A4F-3424-4E67-8697-5331C3E48F82}">
  <sheetPr>
    <tabColor rgb="FF111C4E"/>
  </sheetPr>
  <dimension ref="B2:U41"/>
  <sheetViews>
    <sheetView showGridLines="0" workbookViewId="0"/>
  </sheetViews>
  <sheetFormatPr defaultRowHeight="15" x14ac:dyDescent="0.25"/>
  <cols>
    <col min="1" max="16384" width="9.140625" style="199"/>
  </cols>
  <sheetData>
    <row r="2" spans="2:21" ht="21" x14ac:dyDescent="0.35">
      <c r="B2" s="190" t="s">
        <v>111</v>
      </c>
    </row>
    <row r="4" spans="2:21" ht="18.75" x14ac:dyDescent="0.3">
      <c r="B4" s="198" t="s">
        <v>112</v>
      </c>
    </row>
    <row r="5" spans="2:21" ht="105.75" customHeight="1" x14ac:dyDescent="0.25">
      <c r="B5" s="316" t="s">
        <v>113</v>
      </c>
      <c r="C5" s="316"/>
      <c r="D5" s="316"/>
      <c r="E5" s="316"/>
      <c r="F5" s="316"/>
      <c r="G5" s="316"/>
      <c r="H5" s="316"/>
      <c r="I5" s="316"/>
      <c r="J5" s="316"/>
      <c r="K5" s="316"/>
      <c r="L5" s="316"/>
      <c r="M5" s="316"/>
      <c r="N5" s="316"/>
      <c r="O5" s="316"/>
      <c r="P5" s="316"/>
      <c r="Q5" s="201"/>
      <c r="R5" s="201"/>
      <c r="S5" s="201"/>
      <c r="T5" s="201"/>
      <c r="U5" s="201"/>
    </row>
    <row r="6" spans="2:21" x14ac:dyDescent="0.25">
      <c r="B6" s="202"/>
      <c r="C6" s="203"/>
      <c r="D6" s="203"/>
      <c r="E6" s="203"/>
      <c r="F6" s="203"/>
      <c r="G6" s="203"/>
      <c r="H6" s="203"/>
      <c r="I6" s="203"/>
      <c r="J6" s="203"/>
      <c r="K6" s="203"/>
      <c r="L6" s="203"/>
      <c r="M6" s="203"/>
      <c r="N6" s="203"/>
      <c r="O6" s="203"/>
      <c r="P6" s="203"/>
      <c r="Q6" s="203"/>
      <c r="R6" s="203"/>
      <c r="S6" s="203"/>
      <c r="T6" s="203"/>
      <c r="U6" s="203"/>
    </row>
    <row r="7" spans="2:21" x14ac:dyDescent="0.25">
      <c r="B7" s="202"/>
      <c r="C7" s="203"/>
      <c r="D7" s="203"/>
      <c r="E7" s="203"/>
      <c r="F7" s="203"/>
      <c r="G7" s="203"/>
      <c r="H7" s="203"/>
      <c r="I7" s="203"/>
      <c r="J7" s="203"/>
      <c r="K7" s="203"/>
      <c r="L7" s="203"/>
      <c r="M7" s="203"/>
      <c r="N7" s="203"/>
      <c r="O7" s="203"/>
      <c r="P7" s="203"/>
      <c r="Q7" s="203"/>
      <c r="R7" s="203"/>
      <c r="S7" s="203"/>
      <c r="T7" s="203"/>
      <c r="U7" s="203"/>
    </row>
    <row r="8" spans="2:21" ht="18.75" x14ac:dyDescent="0.3">
      <c r="B8" s="198" t="s">
        <v>114</v>
      </c>
    </row>
    <row r="9" spans="2:21" x14ac:dyDescent="0.25">
      <c r="B9" s="313" t="s">
        <v>115</v>
      </c>
      <c r="C9" s="313"/>
      <c r="D9" s="313"/>
      <c r="E9" s="313"/>
      <c r="F9" s="313"/>
      <c r="G9" s="313"/>
      <c r="H9" s="313"/>
      <c r="I9" s="313"/>
      <c r="J9" s="313"/>
      <c r="K9" s="313"/>
      <c r="L9" s="313"/>
      <c r="M9" s="313"/>
      <c r="N9" s="313"/>
      <c r="O9" s="313"/>
      <c r="P9" s="313"/>
    </row>
    <row r="10" spans="2:21" x14ac:dyDescent="0.25">
      <c r="B10" s="313" t="s">
        <v>116</v>
      </c>
      <c r="C10" s="313"/>
      <c r="D10" s="313"/>
      <c r="E10" s="313"/>
      <c r="F10" s="313"/>
      <c r="G10" s="313"/>
      <c r="H10" s="313"/>
      <c r="I10" s="313"/>
      <c r="J10" s="313"/>
      <c r="K10" s="313"/>
      <c r="L10" s="313"/>
      <c r="M10" s="313"/>
      <c r="N10" s="313"/>
      <c r="O10" s="313"/>
      <c r="P10" s="313"/>
    </row>
    <row r="11" spans="2:21" s="204" customFormat="1" ht="47.25" customHeight="1" x14ac:dyDescent="0.25">
      <c r="C11" s="310" t="s">
        <v>117</v>
      </c>
      <c r="D11" s="310"/>
      <c r="E11" s="310"/>
      <c r="F11" s="310"/>
      <c r="G11" s="310"/>
      <c r="H11" s="310"/>
      <c r="I11" s="310"/>
      <c r="J11" s="310"/>
      <c r="K11" s="310"/>
      <c r="L11" s="310"/>
      <c r="M11" s="310"/>
      <c r="N11" s="310"/>
      <c r="O11" s="310"/>
      <c r="P11" s="310"/>
    </row>
    <row r="12" spans="2:21" ht="30.75" customHeight="1" x14ac:dyDescent="0.25">
      <c r="C12" s="310" t="s">
        <v>118</v>
      </c>
      <c r="D12" s="310"/>
      <c r="E12" s="310"/>
      <c r="F12" s="310"/>
      <c r="G12" s="310"/>
      <c r="H12" s="310"/>
      <c r="I12" s="310"/>
      <c r="J12" s="310"/>
      <c r="K12" s="310"/>
      <c r="L12" s="310"/>
      <c r="M12" s="310"/>
      <c r="N12" s="310"/>
      <c r="O12" s="310"/>
      <c r="P12" s="310"/>
    </row>
    <row r="13" spans="2:21" ht="15" customHeight="1" x14ac:dyDescent="0.25">
      <c r="C13" s="205"/>
      <c r="D13" s="205"/>
      <c r="E13" s="205"/>
      <c r="F13" s="205"/>
      <c r="G13" s="205"/>
      <c r="H13" s="205"/>
      <c r="I13" s="205"/>
      <c r="J13" s="205"/>
      <c r="K13" s="205"/>
      <c r="L13" s="205"/>
      <c r="M13" s="205"/>
      <c r="N13" s="205"/>
      <c r="O13" s="205"/>
      <c r="P13" s="205"/>
    </row>
    <row r="14" spans="2:21" x14ac:dyDescent="0.25">
      <c r="D14" s="199" t="s">
        <v>119</v>
      </c>
    </row>
    <row r="16" spans="2:21" ht="30" customHeight="1" x14ac:dyDescent="0.25">
      <c r="C16" s="310" t="s">
        <v>120</v>
      </c>
      <c r="D16" s="310"/>
      <c r="E16" s="310"/>
      <c r="F16" s="310"/>
      <c r="G16" s="310"/>
      <c r="H16" s="310"/>
      <c r="I16" s="310"/>
      <c r="J16" s="310"/>
      <c r="K16" s="310"/>
      <c r="L16" s="310"/>
      <c r="M16" s="310"/>
      <c r="N16" s="310"/>
      <c r="O16" s="310"/>
      <c r="P16" s="310"/>
    </row>
    <row r="17" spans="2:16" ht="15" customHeight="1" x14ac:dyDescent="0.25">
      <c r="C17" s="205"/>
      <c r="D17" s="205"/>
      <c r="E17" s="205"/>
      <c r="F17" s="205"/>
      <c r="G17" s="205"/>
      <c r="H17" s="205"/>
      <c r="I17" s="205"/>
      <c r="J17" s="205"/>
      <c r="K17" s="205"/>
      <c r="L17" s="205"/>
      <c r="M17" s="205"/>
      <c r="N17" s="205"/>
      <c r="O17" s="205"/>
      <c r="P17" s="205"/>
    </row>
    <row r="18" spans="2:16" x14ac:dyDescent="0.25">
      <c r="D18" s="199" t="s">
        <v>121</v>
      </c>
    </row>
    <row r="19" spans="2:16" x14ac:dyDescent="0.25">
      <c r="D19" s="199" t="s">
        <v>122</v>
      </c>
    </row>
    <row r="21" spans="2:16" x14ac:dyDescent="0.25">
      <c r="C21" s="313" t="s">
        <v>123</v>
      </c>
      <c r="D21" s="313"/>
      <c r="E21" s="313"/>
      <c r="F21" s="313"/>
      <c r="G21" s="313"/>
      <c r="H21" s="313"/>
      <c r="I21" s="313"/>
      <c r="J21" s="313"/>
      <c r="K21" s="313"/>
      <c r="L21" s="313"/>
      <c r="M21" s="313"/>
      <c r="N21" s="313"/>
      <c r="O21" s="313"/>
      <c r="P21" s="313"/>
    </row>
    <row r="22" spans="2:16" x14ac:dyDescent="0.25">
      <c r="C22" s="313" t="s">
        <v>124</v>
      </c>
      <c r="D22" s="313"/>
      <c r="E22" s="313"/>
      <c r="F22" s="313"/>
      <c r="G22" s="313"/>
      <c r="H22" s="313"/>
      <c r="I22" s="313"/>
      <c r="J22" s="313"/>
      <c r="K22" s="313"/>
      <c r="L22" s="313"/>
      <c r="M22" s="313"/>
      <c r="N22" s="313"/>
      <c r="O22" s="313"/>
      <c r="P22" s="313"/>
    </row>
    <row r="23" spans="2:16" x14ac:dyDescent="0.25">
      <c r="C23" s="313" t="s">
        <v>125</v>
      </c>
      <c r="D23" s="313"/>
      <c r="E23" s="313"/>
      <c r="F23" s="313"/>
      <c r="G23" s="313"/>
      <c r="H23" s="313"/>
      <c r="I23" s="313"/>
      <c r="J23" s="313"/>
      <c r="K23" s="313"/>
      <c r="L23" s="313"/>
      <c r="M23" s="313"/>
      <c r="N23" s="313"/>
      <c r="O23" s="313"/>
      <c r="P23" s="313"/>
    </row>
    <row r="24" spans="2:16" ht="30" customHeight="1" x14ac:dyDescent="0.25">
      <c r="C24" s="310" t="s">
        <v>126</v>
      </c>
      <c r="D24" s="310"/>
      <c r="E24" s="310"/>
      <c r="F24" s="310"/>
      <c r="G24" s="310"/>
      <c r="H24" s="310"/>
      <c r="I24" s="310"/>
      <c r="J24" s="310"/>
      <c r="K24" s="310"/>
      <c r="L24" s="310"/>
      <c r="M24" s="310"/>
      <c r="N24" s="310"/>
      <c r="O24" s="310"/>
      <c r="P24" s="310"/>
    </row>
    <row r="27" spans="2:16" ht="18.75" x14ac:dyDescent="0.3">
      <c r="B27" s="198" t="s">
        <v>127</v>
      </c>
    </row>
    <row r="28" spans="2:16" x14ac:dyDescent="0.25">
      <c r="B28" s="199" t="s">
        <v>128</v>
      </c>
    </row>
    <row r="29" spans="2:16" x14ac:dyDescent="0.25">
      <c r="B29" s="199" t="s">
        <v>129</v>
      </c>
    </row>
    <row r="32" spans="2:16" ht="18.75" x14ac:dyDescent="0.3">
      <c r="B32" s="198" t="s">
        <v>130</v>
      </c>
    </row>
    <row r="33" spans="2:16" ht="19.5" customHeight="1" x14ac:dyDescent="0.25">
      <c r="B33" s="314" t="s">
        <v>131</v>
      </c>
      <c r="C33" s="314"/>
      <c r="D33" s="314"/>
      <c r="E33" s="314"/>
      <c r="F33" s="314"/>
      <c r="G33" s="314"/>
      <c r="H33" s="314"/>
      <c r="I33" s="314"/>
      <c r="J33" s="314"/>
      <c r="K33" s="314"/>
      <c r="L33" s="314"/>
      <c r="M33" s="314"/>
      <c r="N33" s="314"/>
      <c r="O33" s="314"/>
      <c r="P33" s="314"/>
    </row>
    <row r="35" spans="2:16" ht="30" customHeight="1" x14ac:dyDescent="0.25">
      <c r="B35" s="315" t="s">
        <v>132</v>
      </c>
      <c r="C35" s="315"/>
      <c r="D35" s="315"/>
      <c r="E35" s="315"/>
      <c r="F35" s="315"/>
      <c r="G35" s="315"/>
      <c r="H35" s="315"/>
      <c r="I35" s="315"/>
      <c r="J35" s="315"/>
      <c r="K35" s="315"/>
      <c r="L35" s="315"/>
      <c r="M35" s="315"/>
      <c r="N35" s="315"/>
      <c r="O35" s="315"/>
      <c r="P35" s="315"/>
    </row>
    <row r="36" spans="2:16" x14ac:dyDescent="0.25">
      <c r="B36" s="206"/>
      <c r="C36" s="207"/>
      <c r="D36" s="207"/>
      <c r="E36" s="207"/>
      <c r="F36" s="207"/>
      <c r="G36" s="207"/>
      <c r="H36" s="207"/>
      <c r="I36" s="207"/>
      <c r="J36" s="207"/>
      <c r="K36" s="207"/>
      <c r="L36" s="207"/>
      <c r="M36" s="207"/>
    </row>
    <row r="37" spans="2:16" x14ac:dyDescent="0.25">
      <c r="C37" s="310" t="s">
        <v>133</v>
      </c>
      <c r="D37" s="310"/>
      <c r="E37" s="310"/>
      <c r="F37" s="310"/>
      <c r="G37" s="310"/>
      <c r="H37" s="205"/>
    </row>
    <row r="38" spans="2:16" x14ac:dyDescent="0.25">
      <c r="C38" s="205"/>
      <c r="D38" s="205"/>
      <c r="E38" s="205"/>
      <c r="F38" s="205"/>
      <c r="G38" s="205"/>
      <c r="H38" s="205"/>
    </row>
    <row r="39" spans="2:16" x14ac:dyDescent="0.25">
      <c r="B39" s="311" t="s">
        <v>134</v>
      </c>
      <c r="C39" s="312"/>
      <c r="D39" s="312"/>
      <c r="E39" s="312"/>
      <c r="F39" s="312"/>
      <c r="G39" s="312"/>
      <c r="H39" s="312"/>
      <c r="I39" s="312"/>
      <c r="J39" s="312"/>
      <c r="K39" s="312"/>
      <c r="L39" s="312"/>
      <c r="M39" s="312"/>
    </row>
    <row r="40" spans="2:16" x14ac:dyDescent="0.25">
      <c r="B40" s="206"/>
      <c r="C40" s="207"/>
      <c r="D40" s="207"/>
      <c r="E40" s="207"/>
      <c r="F40" s="207"/>
      <c r="G40" s="207"/>
      <c r="H40" s="207"/>
      <c r="I40" s="207"/>
      <c r="J40" s="207"/>
      <c r="K40" s="207"/>
      <c r="L40" s="207"/>
      <c r="M40" s="207"/>
    </row>
    <row r="41" spans="2:16" x14ac:dyDescent="0.25">
      <c r="C41" s="199" t="s">
        <v>135</v>
      </c>
    </row>
  </sheetData>
  <mergeCells count="14">
    <mergeCell ref="C16:P16"/>
    <mergeCell ref="B5:P5"/>
    <mergeCell ref="B9:P9"/>
    <mergeCell ref="B10:P10"/>
    <mergeCell ref="C11:P11"/>
    <mergeCell ref="C12:P12"/>
    <mergeCell ref="C37:G37"/>
    <mergeCell ref="B39:M39"/>
    <mergeCell ref="C21:P21"/>
    <mergeCell ref="C22:P22"/>
    <mergeCell ref="C23:P23"/>
    <mergeCell ref="C24:P24"/>
    <mergeCell ref="B33:P33"/>
    <mergeCell ref="B35:P3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611E7-9119-421F-9675-F53EB95392BC}">
  <sheetPr>
    <tabColor rgb="FF111C4E"/>
  </sheetPr>
  <dimension ref="B2:O15"/>
  <sheetViews>
    <sheetView showGridLines="0" workbookViewId="0"/>
  </sheetViews>
  <sheetFormatPr defaultRowHeight="15" x14ac:dyDescent="0.25"/>
  <cols>
    <col min="1" max="16384" width="9.140625" style="199"/>
  </cols>
  <sheetData>
    <row r="2" spans="2:15" ht="21" x14ac:dyDescent="0.35">
      <c r="B2" s="190" t="s">
        <v>136</v>
      </c>
    </row>
    <row r="4" spans="2:15" ht="30.75" customHeight="1" x14ac:dyDescent="0.25">
      <c r="B4" s="208" t="s">
        <v>137</v>
      </c>
      <c r="C4" s="209"/>
      <c r="D4" s="209"/>
      <c r="E4" s="209"/>
      <c r="F4" s="314" t="s">
        <v>138</v>
      </c>
      <c r="G4" s="314"/>
      <c r="H4" s="314"/>
      <c r="I4" s="314"/>
      <c r="J4" s="314"/>
      <c r="K4" s="314"/>
      <c r="L4" s="314"/>
      <c r="M4" s="314"/>
      <c r="N4" s="314"/>
      <c r="O4" s="314"/>
    </row>
    <row r="5" spans="2:15" ht="31.5" customHeight="1" x14ac:dyDescent="0.25">
      <c r="B5" s="208"/>
      <c r="C5" s="209"/>
      <c r="D5" s="209"/>
      <c r="E5" s="209"/>
      <c r="F5" s="314" t="s">
        <v>181</v>
      </c>
      <c r="G5" s="314"/>
      <c r="H5" s="314"/>
      <c r="I5" s="314"/>
      <c r="J5" s="314"/>
      <c r="K5" s="314"/>
      <c r="L5" s="314"/>
      <c r="M5" s="314"/>
      <c r="N5" s="314"/>
      <c r="O5" s="314"/>
    </row>
    <row r="6" spans="2:15" ht="30" customHeight="1" x14ac:dyDescent="0.25">
      <c r="B6" s="208"/>
      <c r="C6" s="209"/>
      <c r="D6" s="209"/>
      <c r="E6" s="209"/>
      <c r="F6" s="314" t="s">
        <v>139</v>
      </c>
      <c r="G6" s="314"/>
      <c r="H6" s="314"/>
      <c r="I6" s="314"/>
      <c r="J6" s="314"/>
      <c r="K6" s="314"/>
      <c r="L6" s="314"/>
      <c r="M6" s="314"/>
      <c r="N6" s="314"/>
      <c r="O6" s="314"/>
    </row>
    <row r="7" spans="2:15" x14ac:dyDescent="0.25">
      <c r="B7" s="208"/>
      <c r="C7" s="209"/>
      <c r="D7" s="209"/>
      <c r="E7" s="209"/>
      <c r="F7" s="209"/>
      <c r="G7" s="209"/>
      <c r="H7" s="209"/>
      <c r="I7" s="209"/>
      <c r="J7" s="209"/>
      <c r="K7" s="209"/>
      <c r="L7" s="209"/>
      <c r="M7" s="209"/>
      <c r="N7" s="209"/>
      <c r="O7" s="209"/>
    </row>
    <row r="8" spans="2:15" ht="30.75" customHeight="1" x14ac:dyDescent="0.25">
      <c r="B8" s="208" t="s">
        <v>140</v>
      </c>
      <c r="C8" s="209"/>
      <c r="D8" s="209"/>
      <c r="E8" s="209"/>
      <c r="F8" s="314" t="s">
        <v>141</v>
      </c>
      <c r="G8" s="314"/>
      <c r="H8" s="314"/>
      <c r="I8" s="314"/>
      <c r="J8" s="314"/>
      <c r="K8" s="314"/>
      <c r="L8" s="314"/>
      <c r="M8" s="314"/>
      <c r="N8" s="314"/>
      <c r="O8" s="314"/>
    </row>
    <row r="9" spans="2:15" x14ac:dyDescent="0.25">
      <c r="B9" s="208"/>
      <c r="C9" s="209"/>
      <c r="D9" s="209"/>
      <c r="E9" s="209"/>
      <c r="F9" s="209"/>
      <c r="G9" s="209"/>
      <c r="H9" s="209"/>
      <c r="I9" s="209"/>
      <c r="J9" s="209"/>
      <c r="K9" s="209"/>
      <c r="L9" s="209"/>
      <c r="M9" s="209"/>
      <c r="N9" s="209"/>
      <c r="O9" s="209"/>
    </row>
    <row r="10" spans="2:15" ht="31.5" customHeight="1" x14ac:dyDescent="0.25">
      <c r="B10" s="208" t="s">
        <v>142</v>
      </c>
      <c r="C10" s="209"/>
      <c r="D10" s="209"/>
      <c r="E10" s="209"/>
      <c r="F10" s="314" t="s">
        <v>143</v>
      </c>
      <c r="G10" s="314"/>
      <c r="H10" s="314"/>
      <c r="I10" s="314"/>
      <c r="J10" s="314"/>
      <c r="K10" s="314"/>
      <c r="L10" s="314"/>
      <c r="M10" s="314"/>
      <c r="N10" s="314"/>
      <c r="O10" s="314"/>
    </row>
    <row r="11" spans="2:15" x14ac:dyDescent="0.25">
      <c r="B11" s="208"/>
      <c r="C11" s="209"/>
      <c r="D11" s="209"/>
      <c r="E11" s="209"/>
      <c r="F11" s="209"/>
      <c r="G11" s="209"/>
      <c r="H11" s="209"/>
      <c r="I11" s="209"/>
      <c r="J11" s="209"/>
      <c r="K11" s="209"/>
      <c r="L11" s="209"/>
      <c r="M11" s="209"/>
      <c r="N11" s="209"/>
      <c r="O11" s="209"/>
    </row>
    <row r="12" spans="2:15" ht="60" customHeight="1" x14ac:dyDescent="0.25">
      <c r="B12" s="208" t="s">
        <v>73</v>
      </c>
      <c r="C12" s="209"/>
      <c r="D12" s="209"/>
      <c r="E12" s="209"/>
      <c r="F12" s="314" t="s">
        <v>144</v>
      </c>
      <c r="G12" s="314"/>
      <c r="H12" s="314"/>
      <c r="I12" s="314"/>
      <c r="J12" s="314"/>
      <c r="K12" s="314"/>
      <c r="L12" s="314"/>
      <c r="M12" s="314"/>
      <c r="N12" s="314"/>
      <c r="O12" s="314"/>
    </row>
    <row r="13" spans="2:15" x14ac:dyDescent="0.25">
      <c r="B13" s="208"/>
      <c r="C13" s="209"/>
      <c r="D13" s="209"/>
      <c r="E13" s="209"/>
      <c r="F13" s="209"/>
      <c r="G13" s="209"/>
      <c r="H13" s="209"/>
      <c r="I13" s="209"/>
      <c r="J13" s="209"/>
      <c r="K13" s="209"/>
      <c r="L13" s="209"/>
      <c r="M13" s="209"/>
      <c r="N13" s="209"/>
      <c r="O13" s="209"/>
    </row>
    <row r="14" spans="2:15" ht="57.75" customHeight="1" x14ac:dyDescent="0.25">
      <c r="B14" s="208" t="s">
        <v>145</v>
      </c>
      <c r="C14" s="209"/>
      <c r="D14" s="209"/>
      <c r="E14" s="209"/>
      <c r="F14" s="314" t="s">
        <v>182</v>
      </c>
      <c r="G14" s="314"/>
      <c r="H14" s="314"/>
      <c r="I14" s="314"/>
      <c r="J14" s="314"/>
      <c r="K14" s="314"/>
      <c r="L14" s="314"/>
      <c r="M14" s="314"/>
      <c r="N14" s="314"/>
      <c r="O14" s="314"/>
    </row>
    <row r="15" spans="2:15" x14ac:dyDescent="0.25">
      <c r="B15" s="209"/>
      <c r="C15" s="209"/>
      <c r="D15" s="209"/>
      <c r="E15" s="209"/>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D4D9-5B23-4FBD-852D-A68635C7BA3B}">
  <sheetPr>
    <tabColor theme="1"/>
  </sheetPr>
  <dimension ref="B1:Y46"/>
  <sheetViews>
    <sheetView showGridLines="0" zoomScale="85" zoomScaleNormal="85" workbookViewId="0">
      <pane xSplit="2" ySplit="5" topLeftCell="K6" activePane="bottomRight" state="frozen"/>
      <selection pane="topRight" activeCell="B1" sqref="B1"/>
      <selection pane="bottomLeft" activeCell="A2" sqref="A2"/>
      <selection pane="bottomRight"/>
    </sheetView>
  </sheetViews>
  <sheetFormatPr defaultRowHeight="15" x14ac:dyDescent="0.25"/>
  <cols>
    <col min="1" max="1" width="11.42578125" style="210" customWidth="1"/>
    <col min="2" max="2" width="71.28515625" style="210" customWidth="1"/>
    <col min="3" max="10" width="14" style="210" bestFit="1" customWidth="1"/>
    <col min="11" max="11" width="13.5703125" style="210" bestFit="1" customWidth="1"/>
    <col min="12" max="12" width="13.140625" style="210" bestFit="1" customWidth="1"/>
    <col min="13" max="18" width="13.5703125" style="210" bestFit="1" customWidth="1"/>
    <col min="19" max="23" width="15.7109375" style="210" bestFit="1" customWidth="1"/>
    <col min="24" max="25" width="15.85546875" style="210" customWidth="1"/>
    <col min="26" max="16384" width="9.140625" style="210"/>
  </cols>
  <sheetData>
    <row r="1" spans="2:25" ht="15" customHeight="1" x14ac:dyDescent="0.25"/>
    <row r="2" spans="2:25" ht="21" x14ac:dyDescent="0.35">
      <c r="B2" s="200" t="s">
        <v>177</v>
      </c>
    </row>
    <row r="3" spans="2:25" ht="17.100000000000001" customHeight="1" x14ac:dyDescent="0.3">
      <c r="B3" s="211" t="s">
        <v>178</v>
      </c>
    </row>
    <row r="4" spans="2:25" ht="15" customHeight="1" thickBot="1" x14ac:dyDescent="0.3"/>
    <row r="5" spans="2:25" x14ac:dyDescent="0.25">
      <c r="B5" s="212"/>
      <c r="C5" s="213">
        <v>2002</v>
      </c>
      <c r="D5" s="213">
        <v>2003</v>
      </c>
      <c r="E5" s="213">
        <v>2004</v>
      </c>
      <c r="F5" s="213">
        <v>2005</v>
      </c>
      <c r="G5" s="213">
        <v>2006</v>
      </c>
      <c r="H5" s="213">
        <v>2007</v>
      </c>
      <c r="I5" s="213">
        <v>2008</v>
      </c>
      <c r="J5" s="213">
        <v>2009</v>
      </c>
      <c r="K5" s="213">
        <v>2010</v>
      </c>
      <c r="L5" s="213">
        <v>2011</v>
      </c>
      <c r="M5" s="213">
        <v>2012</v>
      </c>
      <c r="N5" s="213">
        <v>2013</v>
      </c>
      <c r="O5" s="213">
        <v>2014</v>
      </c>
      <c r="P5" s="213">
        <v>2015</v>
      </c>
      <c r="Q5" s="213">
        <v>2016</v>
      </c>
      <c r="R5" s="213">
        <v>2017</v>
      </c>
      <c r="S5" s="213">
        <v>2018</v>
      </c>
      <c r="T5" s="213">
        <v>2019</v>
      </c>
      <c r="U5" s="213">
        <v>2020</v>
      </c>
      <c r="V5" s="213">
        <v>2021</v>
      </c>
      <c r="W5" s="213">
        <v>2022</v>
      </c>
      <c r="X5" s="213">
        <v>2023</v>
      </c>
      <c r="Y5" s="214">
        <v>2024</v>
      </c>
    </row>
    <row r="6" spans="2:25" x14ac:dyDescent="0.25">
      <c r="B6" s="215" t="s">
        <v>146</v>
      </c>
      <c r="C6" s="216"/>
      <c r="D6" s="216"/>
      <c r="E6" s="216"/>
      <c r="F6" s="216"/>
      <c r="G6" s="216"/>
      <c r="H6" s="216"/>
      <c r="I6" s="216"/>
      <c r="J6" s="216"/>
      <c r="K6" s="216"/>
      <c r="L6" s="216"/>
      <c r="M6" s="216"/>
      <c r="N6" s="216">
        <v>17</v>
      </c>
      <c r="O6" s="216">
        <v>22</v>
      </c>
      <c r="P6" s="216">
        <v>1</v>
      </c>
      <c r="Q6" s="216">
        <v>1</v>
      </c>
      <c r="R6" s="216">
        <v>3</v>
      </c>
      <c r="S6" s="216">
        <v>3</v>
      </c>
      <c r="T6" s="216">
        <v>1</v>
      </c>
      <c r="U6" s="216">
        <v>2</v>
      </c>
      <c r="V6" s="216">
        <v>0</v>
      </c>
      <c r="W6" s="216">
        <v>0</v>
      </c>
      <c r="X6" s="216">
        <v>0</v>
      </c>
      <c r="Y6" s="232">
        <v>0</v>
      </c>
    </row>
    <row r="7" spans="2:25" x14ac:dyDescent="0.25">
      <c r="B7" s="217" t="s">
        <v>147</v>
      </c>
      <c r="C7" s="218"/>
      <c r="D7" s="218"/>
      <c r="E7" s="218"/>
      <c r="F7" s="218"/>
      <c r="G7" s="218"/>
      <c r="H7" s="218"/>
      <c r="I7" s="218"/>
      <c r="J7" s="218"/>
      <c r="K7" s="218"/>
      <c r="L7" s="218"/>
      <c r="M7" s="218"/>
      <c r="N7" s="218">
        <v>10</v>
      </c>
      <c r="O7" s="218">
        <v>3</v>
      </c>
      <c r="P7" s="218">
        <v>1</v>
      </c>
      <c r="Q7" s="218">
        <v>0</v>
      </c>
      <c r="R7" s="218">
        <v>1</v>
      </c>
      <c r="S7" s="218">
        <v>1</v>
      </c>
      <c r="T7" s="218">
        <v>0</v>
      </c>
      <c r="U7" s="218">
        <v>0</v>
      </c>
      <c r="V7" s="218">
        <v>0</v>
      </c>
      <c r="W7" s="218">
        <v>0</v>
      </c>
      <c r="X7" s="218">
        <v>0</v>
      </c>
      <c r="Y7" s="233">
        <v>1</v>
      </c>
    </row>
    <row r="8" spans="2:25" ht="15.75" thickBot="1" x14ac:dyDescent="0.3">
      <c r="B8" s="217" t="s">
        <v>148</v>
      </c>
      <c r="C8" s="218"/>
      <c r="D8" s="218"/>
      <c r="E8" s="218"/>
      <c r="F8" s="218"/>
      <c r="G8" s="218"/>
      <c r="H8" s="218"/>
      <c r="I8" s="218"/>
      <c r="J8" s="218"/>
      <c r="K8" s="218"/>
      <c r="L8" s="218"/>
      <c r="M8" s="218"/>
      <c r="N8" s="234">
        <v>8</v>
      </c>
      <c r="O8" s="234">
        <v>20</v>
      </c>
      <c r="P8" s="234">
        <v>7</v>
      </c>
      <c r="Q8" s="234">
        <v>1</v>
      </c>
      <c r="R8" s="234">
        <v>2</v>
      </c>
      <c r="S8" s="234">
        <v>4</v>
      </c>
      <c r="T8" s="234">
        <v>11</v>
      </c>
      <c r="U8" s="234">
        <v>2</v>
      </c>
      <c r="V8" s="234">
        <v>17</v>
      </c>
      <c r="W8" s="234">
        <v>15</v>
      </c>
      <c r="X8" s="234">
        <v>10</v>
      </c>
      <c r="Y8" s="235">
        <v>9</v>
      </c>
    </row>
    <row r="9" spans="2:25" ht="15.75" thickTop="1" x14ac:dyDescent="0.25">
      <c r="B9" s="219" t="s">
        <v>149</v>
      </c>
      <c r="C9" s="220">
        <v>21</v>
      </c>
      <c r="D9" s="220">
        <v>16</v>
      </c>
      <c r="E9" s="220">
        <v>33</v>
      </c>
      <c r="F9" s="220">
        <v>34</v>
      </c>
      <c r="G9" s="220">
        <v>30</v>
      </c>
      <c r="H9" s="220">
        <v>43</v>
      </c>
      <c r="I9" s="220">
        <v>34</v>
      </c>
      <c r="J9" s="220">
        <v>37</v>
      </c>
      <c r="K9" s="220">
        <v>45</v>
      </c>
      <c r="L9" s="220">
        <v>52</v>
      </c>
      <c r="M9" s="220">
        <v>33</v>
      </c>
      <c r="N9" s="236">
        <f>SUM(N6:N8)</f>
        <v>35</v>
      </c>
      <c r="O9" s="236">
        <f>SUM(O6:O8)</f>
        <v>45</v>
      </c>
      <c r="P9" s="236">
        <f t="shared" ref="P9:Y9" si="0">SUM(P6:P8)</f>
        <v>9</v>
      </c>
      <c r="Q9" s="236">
        <f t="shared" si="0"/>
        <v>2</v>
      </c>
      <c r="R9" s="236">
        <f t="shared" si="0"/>
        <v>6</v>
      </c>
      <c r="S9" s="236">
        <f t="shared" si="0"/>
        <v>8</v>
      </c>
      <c r="T9" s="236">
        <f t="shared" si="0"/>
        <v>12</v>
      </c>
      <c r="U9" s="236">
        <f t="shared" si="0"/>
        <v>4</v>
      </c>
      <c r="V9" s="236">
        <f>SUM(V6:V8)</f>
        <v>17</v>
      </c>
      <c r="W9" s="236">
        <f t="shared" si="0"/>
        <v>15</v>
      </c>
      <c r="X9" s="236">
        <f t="shared" si="0"/>
        <v>10</v>
      </c>
      <c r="Y9" s="237">
        <f t="shared" si="0"/>
        <v>10</v>
      </c>
    </row>
    <row r="10" spans="2:25" x14ac:dyDescent="0.25">
      <c r="B10" s="217"/>
      <c r="C10" s="220"/>
      <c r="D10" s="220"/>
      <c r="E10" s="220"/>
      <c r="F10" s="220"/>
      <c r="G10" s="220"/>
      <c r="H10" s="220"/>
      <c r="I10" s="220"/>
      <c r="J10" s="220"/>
      <c r="K10" s="220"/>
      <c r="L10" s="220"/>
      <c r="M10" s="220"/>
      <c r="N10" s="238"/>
      <c r="O10" s="239"/>
      <c r="P10" s="239"/>
      <c r="Q10" s="239"/>
      <c r="R10" s="240"/>
      <c r="S10" s="241"/>
      <c r="T10" s="242"/>
      <c r="U10" s="242"/>
      <c r="V10" s="242"/>
      <c r="W10" s="242"/>
      <c r="X10" s="242"/>
      <c r="Y10" s="243"/>
    </row>
    <row r="11" spans="2:25" x14ac:dyDescent="0.25">
      <c r="B11" s="217" t="s">
        <v>150</v>
      </c>
      <c r="C11" s="221"/>
      <c r="D11" s="221"/>
      <c r="E11" s="221"/>
      <c r="F11" s="221"/>
      <c r="G11" s="221"/>
      <c r="H11" s="221"/>
      <c r="I11" s="221"/>
      <c r="J11" s="221"/>
      <c r="K11" s="221"/>
      <c r="L11" s="221"/>
      <c r="M11" s="221"/>
      <c r="N11" s="244">
        <v>39082.400000000001</v>
      </c>
      <c r="O11" s="244">
        <v>43484.710000000006</v>
      </c>
      <c r="P11" s="244">
        <v>1495</v>
      </c>
      <c r="Q11" s="245">
        <v>6692</v>
      </c>
      <c r="R11" s="245">
        <v>6885.4500000000007</v>
      </c>
      <c r="S11" s="245">
        <v>8985.2000000000007</v>
      </c>
      <c r="T11" s="245">
        <v>3076</v>
      </c>
      <c r="U11" s="245">
        <v>7297.8</v>
      </c>
      <c r="V11" s="245">
        <v>0</v>
      </c>
      <c r="W11" s="245">
        <v>0</v>
      </c>
      <c r="X11" s="246">
        <v>0</v>
      </c>
      <c r="Y11" s="247">
        <v>0</v>
      </c>
    </row>
    <row r="12" spans="2:25" x14ac:dyDescent="0.25">
      <c r="B12" s="217" t="s">
        <v>151</v>
      </c>
      <c r="C12" s="221"/>
      <c r="D12" s="221"/>
      <c r="E12" s="221"/>
      <c r="F12" s="221"/>
      <c r="G12" s="221"/>
      <c r="H12" s="221"/>
      <c r="I12" s="221"/>
      <c r="J12" s="221"/>
      <c r="K12" s="221"/>
      <c r="L12" s="221"/>
      <c r="M12" s="221"/>
      <c r="N12" s="244">
        <v>27890.78</v>
      </c>
      <c r="O12" s="244">
        <v>10359.1</v>
      </c>
      <c r="P12" s="244">
        <v>1232</v>
      </c>
      <c r="Q12" s="245">
        <v>0</v>
      </c>
      <c r="R12" s="245">
        <v>1069</v>
      </c>
      <c r="S12" s="245">
        <v>5426.1</v>
      </c>
      <c r="T12" s="245">
        <v>914</v>
      </c>
      <c r="U12" s="245">
        <v>0</v>
      </c>
      <c r="V12" s="245">
        <v>0</v>
      </c>
      <c r="W12" s="245">
        <v>0</v>
      </c>
      <c r="X12" s="246">
        <v>0</v>
      </c>
      <c r="Y12" s="247">
        <v>4505</v>
      </c>
    </row>
    <row r="13" spans="2:25" ht="15.75" thickBot="1" x14ac:dyDescent="0.3">
      <c r="B13" s="217" t="s">
        <v>152</v>
      </c>
      <c r="C13" s="221"/>
      <c r="D13" s="221"/>
      <c r="E13" s="221"/>
      <c r="F13" s="221"/>
      <c r="G13" s="221"/>
      <c r="H13" s="221"/>
      <c r="I13" s="221"/>
      <c r="J13" s="221"/>
      <c r="K13" s="221"/>
      <c r="L13" s="221"/>
      <c r="M13" s="221"/>
      <c r="N13" s="248">
        <v>29474.61</v>
      </c>
      <c r="O13" s="248">
        <v>66012.240000000005</v>
      </c>
      <c r="P13" s="248">
        <v>19152.140000000003</v>
      </c>
      <c r="Q13" s="249">
        <v>4600</v>
      </c>
      <c r="R13" s="249">
        <v>4728.2</v>
      </c>
      <c r="S13" s="249">
        <v>10384.6</v>
      </c>
      <c r="T13" s="249">
        <v>43842.8</v>
      </c>
      <c r="U13" s="249">
        <v>10175.1</v>
      </c>
      <c r="V13" s="249">
        <v>60107.56</v>
      </c>
      <c r="W13" s="249">
        <v>66715.06</v>
      </c>
      <c r="X13" s="249">
        <v>37038.449999999997</v>
      </c>
      <c r="Y13" s="250">
        <v>32433.67</v>
      </c>
    </row>
    <row r="14" spans="2:25" ht="15.75" thickTop="1" x14ac:dyDescent="0.25">
      <c r="B14" s="219" t="s">
        <v>153</v>
      </c>
      <c r="C14" s="222">
        <v>36958</v>
      </c>
      <c r="D14" s="222">
        <v>35201</v>
      </c>
      <c r="E14" s="222">
        <v>78237</v>
      </c>
      <c r="F14" s="222">
        <v>87533</v>
      </c>
      <c r="G14" s="222">
        <v>112369</v>
      </c>
      <c r="H14" s="222">
        <v>99854</v>
      </c>
      <c r="I14" s="222">
        <v>51037</v>
      </c>
      <c r="J14" s="222">
        <v>64596</v>
      </c>
      <c r="K14" s="222">
        <v>76026</v>
      </c>
      <c r="L14" s="222">
        <v>63669</v>
      </c>
      <c r="M14" s="222">
        <v>72177.2</v>
      </c>
      <c r="N14" s="251">
        <f t="shared" ref="N14:W14" si="1">SUM(N11:N13)</f>
        <v>96447.79</v>
      </c>
      <c r="O14" s="251">
        <f t="shared" si="1"/>
        <v>119856.05000000002</v>
      </c>
      <c r="P14" s="251">
        <f t="shared" si="1"/>
        <v>21879.140000000003</v>
      </c>
      <c r="Q14" s="251">
        <f t="shared" si="1"/>
        <v>11292</v>
      </c>
      <c r="R14" s="251">
        <f t="shared" si="1"/>
        <v>12682.650000000001</v>
      </c>
      <c r="S14" s="251">
        <f t="shared" si="1"/>
        <v>24795.9</v>
      </c>
      <c r="T14" s="251">
        <f t="shared" si="1"/>
        <v>47832.800000000003</v>
      </c>
      <c r="U14" s="251">
        <f t="shared" si="1"/>
        <v>17472.900000000001</v>
      </c>
      <c r="V14" s="251">
        <f t="shared" si="1"/>
        <v>60107.56</v>
      </c>
      <c r="W14" s="251">
        <f t="shared" si="1"/>
        <v>66715.06</v>
      </c>
      <c r="X14" s="251">
        <f>SUM(X11:X13)</f>
        <v>37038.449999999997</v>
      </c>
      <c r="Y14" s="252">
        <f>SUM(Y11:Y13)</f>
        <v>36938.67</v>
      </c>
    </row>
    <row r="15" spans="2:25" x14ac:dyDescent="0.25">
      <c r="B15" s="217"/>
      <c r="C15" s="222"/>
      <c r="D15" s="222"/>
      <c r="E15" s="222"/>
      <c r="F15" s="222"/>
      <c r="G15" s="222"/>
      <c r="H15" s="222"/>
      <c r="I15" s="222"/>
      <c r="J15" s="222"/>
      <c r="K15" s="222"/>
      <c r="L15" s="222"/>
      <c r="M15" s="222"/>
      <c r="N15" s="238"/>
      <c r="O15" s="239"/>
      <c r="P15" s="239"/>
      <c r="Q15" s="239"/>
      <c r="R15" s="240"/>
      <c r="S15" s="241"/>
      <c r="T15" s="242"/>
      <c r="U15" s="242"/>
      <c r="V15" s="242"/>
      <c r="W15" s="242"/>
      <c r="X15" s="242"/>
      <c r="Y15" s="243"/>
    </row>
    <row r="16" spans="2:25" x14ac:dyDescent="0.25">
      <c r="B16" s="217" t="s">
        <v>154</v>
      </c>
      <c r="C16" s="223"/>
      <c r="D16" s="223"/>
      <c r="E16" s="223"/>
      <c r="F16" s="223"/>
      <c r="G16" s="223"/>
      <c r="H16" s="223"/>
      <c r="I16" s="223"/>
      <c r="J16" s="223"/>
      <c r="K16" s="223"/>
      <c r="L16" s="223"/>
      <c r="M16" s="223"/>
      <c r="N16" s="253">
        <v>206.78200000000001</v>
      </c>
      <c r="O16" s="253">
        <v>468.69</v>
      </c>
      <c r="P16" s="253">
        <v>19.010000000000002</v>
      </c>
      <c r="Q16" s="254">
        <f>17944197.45/1000000</f>
        <v>17.944197450000001</v>
      </c>
      <c r="R16" s="254">
        <f>25167864.02/1000000</f>
        <v>25.16786402</v>
      </c>
      <c r="S16" s="255">
        <f t="shared" ref="S16" si="2">31883866/1000000</f>
        <v>31.883866000000001</v>
      </c>
      <c r="T16" s="255">
        <f>84191580/1000000</f>
        <v>84.191580000000002</v>
      </c>
      <c r="U16" s="255">
        <f>127568192/1000000</f>
        <v>127.568192</v>
      </c>
      <c r="V16" s="255">
        <f>38616256/1000000</f>
        <v>38.616256</v>
      </c>
      <c r="W16" s="255">
        <f>36014745/1000000</f>
        <v>36.014744999999998</v>
      </c>
      <c r="X16" s="255">
        <f>41350330/1000000</f>
        <v>41.35033</v>
      </c>
      <c r="Y16" s="256">
        <f>2180810/1000000</f>
        <v>2.1808100000000001</v>
      </c>
    </row>
    <row r="17" spans="2:25" x14ac:dyDescent="0.25">
      <c r="B17" s="217" t="s">
        <v>155</v>
      </c>
      <c r="C17" s="223"/>
      <c r="D17" s="223"/>
      <c r="E17" s="223"/>
      <c r="F17" s="223"/>
      <c r="G17" s="223"/>
      <c r="H17" s="223"/>
      <c r="I17" s="223"/>
      <c r="J17" s="223"/>
      <c r="K17" s="223"/>
      <c r="L17" s="223"/>
      <c r="M17" s="223"/>
      <c r="N17" s="253">
        <v>93.822999999999993</v>
      </c>
      <c r="O17" s="253">
        <v>114.28</v>
      </c>
      <c r="P17" s="253">
        <v>-0.52</v>
      </c>
      <c r="Q17" s="257">
        <f>610/1000000</f>
        <v>6.0999999999999997E-4</v>
      </c>
      <c r="R17" s="257">
        <f>1660537/1000000</f>
        <v>1.6605369999999999</v>
      </c>
      <c r="S17" s="255">
        <f>460004/1000000</f>
        <v>0.46000400000000002</v>
      </c>
      <c r="T17" s="255">
        <v>0</v>
      </c>
      <c r="U17" s="255">
        <v>0</v>
      </c>
      <c r="V17" s="255">
        <f>8582747/1000000</f>
        <v>8.5827469999999995</v>
      </c>
      <c r="W17" s="255">
        <f>2032945/1000000</f>
        <v>2.0329449999999998</v>
      </c>
      <c r="X17" s="255">
        <v>0</v>
      </c>
      <c r="Y17" s="256">
        <f>81523.4/1000000</f>
        <v>8.1523399999999996E-2</v>
      </c>
    </row>
    <row r="18" spans="2:25" ht="15.75" thickBot="1" x14ac:dyDescent="0.3">
      <c r="B18" s="217" t="s">
        <v>156</v>
      </c>
      <c r="C18" s="223"/>
      <c r="D18" s="223"/>
      <c r="E18" s="223"/>
      <c r="F18" s="223"/>
      <c r="G18" s="223"/>
      <c r="H18" s="223"/>
      <c r="I18" s="223"/>
      <c r="J18" s="223"/>
      <c r="K18" s="223"/>
      <c r="L18" s="223"/>
      <c r="M18" s="223"/>
      <c r="N18" s="258">
        <v>358.15100000000001</v>
      </c>
      <c r="O18" s="258">
        <v>540.92999999999995</v>
      </c>
      <c r="P18" s="258">
        <v>341.27</v>
      </c>
      <c r="Q18" s="259">
        <f>77429877/1000000</f>
        <v>77.429877000000005</v>
      </c>
      <c r="R18" s="259">
        <f>49251156.61/1000000</f>
        <v>49.251156610000002</v>
      </c>
      <c r="S18" s="260">
        <f>77711593/1000000</f>
        <v>77.711592999999993</v>
      </c>
      <c r="T18" s="260">
        <f>151187460.26/1000000</f>
        <v>151.18746025999999</v>
      </c>
      <c r="U18" s="260">
        <f>133125195/1000000</f>
        <v>133.12519499999999</v>
      </c>
      <c r="V18" s="260">
        <f>317201663/1000000</f>
        <v>317.201663</v>
      </c>
      <c r="W18" s="260">
        <f>471895757/1000000</f>
        <v>471.895757</v>
      </c>
      <c r="X18" s="260">
        <f>362111200.29/1000000</f>
        <v>362.11120029</v>
      </c>
      <c r="Y18" s="261">
        <f>174822034.3/1000000</f>
        <v>174.82203430000001</v>
      </c>
    </row>
    <row r="19" spans="2:25" ht="15.75" thickTop="1" x14ac:dyDescent="0.25">
      <c r="B19" s="219" t="s">
        <v>157</v>
      </c>
      <c r="C19" s="224"/>
      <c r="D19" s="224"/>
      <c r="E19" s="224"/>
      <c r="F19" s="224"/>
      <c r="G19" s="224"/>
      <c r="H19" s="224"/>
      <c r="I19" s="224"/>
      <c r="J19" s="224"/>
      <c r="K19" s="224"/>
      <c r="L19" s="224"/>
      <c r="M19" s="224"/>
      <c r="N19" s="262">
        <f>SUM(N16:N18)</f>
        <v>658.75600000000009</v>
      </c>
      <c r="O19" s="262">
        <f t="shared" ref="O19:W19" si="3">SUM(O16:O18)</f>
        <v>1123.9000000000001</v>
      </c>
      <c r="P19" s="262">
        <f t="shared" si="3"/>
        <v>359.76</v>
      </c>
      <c r="Q19" s="262">
        <f t="shared" si="3"/>
        <v>95.374684450000004</v>
      </c>
      <c r="R19" s="262">
        <f t="shared" si="3"/>
        <v>76.079557630000011</v>
      </c>
      <c r="S19" s="262">
        <f t="shared" si="3"/>
        <v>110.055463</v>
      </c>
      <c r="T19" s="262">
        <f t="shared" si="3"/>
        <v>235.37904026000001</v>
      </c>
      <c r="U19" s="262">
        <f t="shared" si="3"/>
        <v>260.69338699999997</v>
      </c>
      <c r="V19" s="262">
        <f t="shared" si="3"/>
        <v>364.400666</v>
      </c>
      <c r="W19" s="262">
        <f t="shared" si="3"/>
        <v>509.94344699999999</v>
      </c>
      <c r="X19" s="262">
        <f>SUM(X16:X18)</f>
        <v>403.46153028999998</v>
      </c>
      <c r="Y19" s="263">
        <f>SUM(Y16:Y18)</f>
        <v>177.0843677</v>
      </c>
    </row>
    <row r="20" spans="2:25" x14ac:dyDescent="0.25">
      <c r="B20" s="217"/>
      <c r="C20" s="224"/>
      <c r="D20" s="224"/>
      <c r="E20" s="224"/>
      <c r="F20" s="224"/>
      <c r="G20" s="224"/>
      <c r="H20" s="224"/>
      <c r="I20" s="224"/>
      <c r="J20" s="224"/>
      <c r="K20" s="224"/>
      <c r="L20" s="224"/>
      <c r="M20" s="224"/>
      <c r="N20" s="264"/>
      <c r="O20" s="253"/>
      <c r="P20" s="253"/>
      <c r="Q20" s="253"/>
      <c r="R20" s="265"/>
      <c r="S20" s="241"/>
      <c r="T20" s="241"/>
      <c r="U20" s="241"/>
      <c r="V20" s="241"/>
      <c r="W20" s="241"/>
      <c r="X20" s="242"/>
      <c r="Y20" s="243"/>
    </row>
    <row r="21" spans="2:25" x14ac:dyDescent="0.25">
      <c r="B21" s="217" t="s">
        <v>158</v>
      </c>
      <c r="C21" s="225">
        <v>141</v>
      </c>
      <c r="D21" s="225">
        <v>2455</v>
      </c>
      <c r="E21" s="225">
        <v>5466</v>
      </c>
      <c r="F21" s="225">
        <v>3764</v>
      </c>
      <c r="G21" s="225">
        <v>13240</v>
      </c>
      <c r="H21" s="225">
        <v>14424</v>
      </c>
      <c r="I21" s="225">
        <v>25749</v>
      </c>
      <c r="J21" s="225">
        <v>12058</v>
      </c>
      <c r="K21" s="225">
        <v>9751.23</v>
      </c>
      <c r="L21" s="225">
        <v>8353</v>
      </c>
      <c r="M21" s="225">
        <v>219.84</v>
      </c>
      <c r="N21" s="244">
        <v>315.3</v>
      </c>
      <c r="O21" s="244">
        <v>15523.55</v>
      </c>
      <c r="P21" s="244">
        <v>22455</v>
      </c>
      <c r="Q21" s="245">
        <v>9148</v>
      </c>
      <c r="R21" s="245">
        <v>0</v>
      </c>
      <c r="S21" s="245">
        <v>20</v>
      </c>
      <c r="T21" s="245">
        <v>0</v>
      </c>
      <c r="U21" s="245">
        <v>0</v>
      </c>
      <c r="V21" s="245">
        <v>145.61000000000001</v>
      </c>
      <c r="W21" s="245">
        <v>0</v>
      </c>
      <c r="X21" s="245">
        <v>0</v>
      </c>
      <c r="Y21" s="266">
        <v>0</v>
      </c>
    </row>
    <row r="22" spans="2:25" x14ac:dyDescent="0.25">
      <c r="B22" s="217" t="s">
        <v>159</v>
      </c>
      <c r="C22" s="225">
        <v>9927</v>
      </c>
      <c r="D22" s="225">
        <v>10829</v>
      </c>
      <c r="E22" s="225">
        <v>23808</v>
      </c>
      <c r="F22" s="225">
        <v>14707</v>
      </c>
      <c r="G22" s="225">
        <v>30627</v>
      </c>
      <c r="H22" s="225">
        <v>20019</v>
      </c>
      <c r="I22" s="225">
        <v>11411</v>
      </c>
      <c r="J22" s="225">
        <v>6989</v>
      </c>
      <c r="K22" s="225">
        <v>21511.82</v>
      </c>
      <c r="L22" s="225">
        <v>7911</v>
      </c>
      <c r="M22" s="225">
        <v>6387</v>
      </c>
      <c r="N22" s="244">
        <v>5917</v>
      </c>
      <c r="O22" s="244">
        <v>11299.373</v>
      </c>
      <c r="P22" s="244">
        <v>14805.6</v>
      </c>
      <c r="Q22" s="245">
        <v>10228.92</v>
      </c>
      <c r="R22" s="267">
        <v>1381.9</v>
      </c>
      <c r="S22" s="245">
        <v>1751.2331999999999</v>
      </c>
      <c r="T22" s="245">
        <v>489.58509999999774</v>
      </c>
      <c r="U22" s="245">
        <v>250.26699999999849</v>
      </c>
      <c r="V22" s="245">
        <v>167.5</v>
      </c>
      <c r="W22" s="245">
        <v>0</v>
      </c>
      <c r="X22" s="245">
        <v>0</v>
      </c>
      <c r="Y22" s="266">
        <v>70</v>
      </c>
    </row>
    <row r="23" spans="2:25" ht="17.25" x14ac:dyDescent="0.25">
      <c r="B23" s="217" t="s">
        <v>179</v>
      </c>
      <c r="C23" s="225">
        <v>483</v>
      </c>
      <c r="D23" s="225">
        <v>444</v>
      </c>
      <c r="E23" s="225">
        <v>39</v>
      </c>
      <c r="F23" s="225">
        <v>3120</v>
      </c>
      <c r="G23" s="225">
        <v>2360</v>
      </c>
      <c r="H23" s="225">
        <v>935</v>
      </c>
      <c r="I23" s="225">
        <v>991</v>
      </c>
      <c r="J23" s="225">
        <v>1151</v>
      </c>
      <c r="K23" s="225">
        <v>204</v>
      </c>
      <c r="L23" s="225">
        <v>6864</v>
      </c>
      <c r="M23" s="225">
        <v>164.3</v>
      </c>
      <c r="N23" s="244">
        <v>6825</v>
      </c>
      <c r="O23" s="244">
        <v>5743</v>
      </c>
      <c r="P23" s="244">
        <v>6007</v>
      </c>
      <c r="Q23" s="268">
        <v>7638.4</v>
      </c>
      <c r="R23" s="268">
        <v>17477</v>
      </c>
      <c r="S23" s="268">
        <v>3653.6</v>
      </c>
      <c r="T23" s="268">
        <v>0</v>
      </c>
      <c r="U23" s="268">
        <v>0</v>
      </c>
      <c r="V23" s="268">
        <v>147.80000000000001</v>
      </c>
      <c r="W23" s="268">
        <v>244.7</v>
      </c>
      <c r="X23" s="268">
        <v>0</v>
      </c>
      <c r="Y23" s="269">
        <v>0</v>
      </c>
    </row>
    <row r="24" spans="2:25" ht="17.25" x14ac:dyDescent="0.25">
      <c r="B24" s="217" t="s">
        <v>180</v>
      </c>
      <c r="C24" s="225">
        <v>566</v>
      </c>
      <c r="D24" s="225">
        <v>961</v>
      </c>
      <c r="E24" s="225">
        <v>410</v>
      </c>
      <c r="F24" s="225">
        <v>247</v>
      </c>
      <c r="G24" s="225">
        <v>2147</v>
      </c>
      <c r="H24" s="225">
        <v>407</v>
      </c>
      <c r="I24" s="225">
        <v>432</v>
      </c>
      <c r="J24" s="225">
        <v>457</v>
      </c>
      <c r="K24" s="225">
        <v>1244</v>
      </c>
      <c r="L24" s="225">
        <v>1214</v>
      </c>
      <c r="M24" s="225">
        <v>9484.0229999999992</v>
      </c>
      <c r="N24" s="244">
        <v>1113</v>
      </c>
      <c r="O24" s="244">
        <v>212.4</v>
      </c>
      <c r="P24" s="244">
        <v>4406.1000000000004</v>
      </c>
      <c r="Q24" s="245">
        <v>21299</v>
      </c>
      <c r="R24" s="245">
        <v>8242</v>
      </c>
      <c r="S24" s="245">
        <v>7374.9</v>
      </c>
      <c r="T24" s="245">
        <v>4299</v>
      </c>
      <c r="U24" s="267">
        <v>695.298</v>
      </c>
      <c r="V24" s="267">
        <v>677.08899999999903</v>
      </c>
      <c r="W24" s="267">
        <v>0</v>
      </c>
      <c r="X24" s="242">
        <v>217</v>
      </c>
      <c r="Y24" s="270">
        <v>95</v>
      </c>
    </row>
    <row r="25" spans="2:25" x14ac:dyDescent="0.25">
      <c r="B25" s="226"/>
      <c r="C25" s="227"/>
      <c r="D25" s="227"/>
      <c r="E25" s="227"/>
      <c r="F25" s="227"/>
      <c r="G25" s="227"/>
      <c r="H25" s="227"/>
      <c r="I25" s="227"/>
      <c r="J25" s="227"/>
      <c r="K25" s="227"/>
      <c r="L25" s="227"/>
      <c r="M25" s="227"/>
      <c r="N25" s="242"/>
      <c r="O25" s="242"/>
      <c r="P25" s="242"/>
      <c r="Q25" s="242"/>
      <c r="R25" s="242"/>
      <c r="S25" s="242"/>
      <c r="T25" s="242"/>
      <c r="U25" s="242"/>
      <c r="V25" s="242"/>
      <c r="W25" s="242"/>
      <c r="X25" s="242"/>
      <c r="Y25" s="243"/>
    </row>
    <row r="26" spans="2:25" x14ac:dyDescent="0.25">
      <c r="B26" s="217" t="s">
        <v>160</v>
      </c>
      <c r="C26" s="223"/>
      <c r="D26" s="223"/>
      <c r="E26" s="223"/>
      <c r="F26" s="223"/>
      <c r="G26" s="223"/>
      <c r="H26" s="223"/>
      <c r="I26" s="223"/>
      <c r="J26" s="223"/>
      <c r="K26" s="223"/>
      <c r="L26" s="223"/>
      <c r="M26" s="223"/>
      <c r="N26" s="253">
        <v>66.119</v>
      </c>
      <c r="O26" s="253">
        <v>95.52</v>
      </c>
      <c r="P26" s="253">
        <v>119.42</v>
      </c>
      <c r="Q26" s="265">
        <f>122557837/1000000</f>
        <v>122.55783700000001</v>
      </c>
      <c r="R26" s="265">
        <f>139294314.66/1000000</f>
        <v>139.29431466</v>
      </c>
      <c r="S26" s="265">
        <f>24016475/1000000</f>
        <v>24.016475</v>
      </c>
      <c r="T26" s="265">
        <f>811775.11/1000000</f>
        <v>0.81177511000000002</v>
      </c>
      <c r="U26" s="265">
        <f>5848948.1/1000000</f>
        <v>5.8489480999999994</v>
      </c>
      <c r="V26" s="265">
        <f>12701465/1000000</f>
        <v>12.701465000000001</v>
      </c>
      <c r="W26" s="265">
        <f>8415478/1000000</f>
        <v>8.4154780000000002</v>
      </c>
      <c r="X26" s="265">
        <f>5300094/1000000</f>
        <v>5.3000939999999996</v>
      </c>
      <c r="Y26" s="271">
        <f>11040/1000000</f>
        <v>1.1039999999999999E-2</v>
      </c>
    </row>
    <row r="27" spans="2:25" ht="15.75" thickBot="1" x14ac:dyDescent="0.3">
      <c r="B27" s="217" t="s">
        <v>161</v>
      </c>
      <c r="C27" s="223"/>
      <c r="D27" s="223"/>
      <c r="E27" s="223"/>
      <c r="F27" s="223"/>
      <c r="G27" s="223"/>
      <c r="H27" s="223"/>
      <c r="I27" s="223"/>
      <c r="J27" s="223"/>
      <c r="K27" s="223"/>
      <c r="L27" s="223"/>
      <c r="M27" s="223"/>
      <c r="N27" s="258">
        <v>3.948</v>
      </c>
      <c r="O27" s="258">
        <v>2.76</v>
      </c>
      <c r="P27" s="258">
        <v>3.71</v>
      </c>
      <c r="Q27" s="272">
        <f>3776690/1000000</f>
        <v>3.7766899999999999</v>
      </c>
      <c r="R27" s="272">
        <f>16745572/1000000</f>
        <v>16.745571999999999</v>
      </c>
      <c r="S27" s="272">
        <f>5743316/1000000</f>
        <v>5.7433160000000001</v>
      </c>
      <c r="T27" s="272">
        <f>2440900.22/1000000</f>
        <v>2.4409002200000001</v>
      </c>
      <c r="U27" s="272">
        <f>1815410.02/1000000</f>
        <v>1.8154100200000001</v>
      </c>
      <c r="V27" s="272">
        <f>754971.75/1000000</f>
        <v>0.75497175000000005</v>
      </c>
      <c r="W27" s="272">
        <f>751034/1000000</f>
        <v>0.75103399999999998</v>
      </c>
      <c r="X27" s="272">
        <f>1390993/1000000</f>
        <v>1.3909929999999999</v>
      </c>
      <c r="Y27" s="273">
        <f>524623/1000000</f>
        <v>0.52462299999999995</v>
      </c>
    </row>
    <row r="28" spans="2:25" ht="15.75" thickTop="1" x14ac:dyDescent="0.25">
      <c r="B28" s="219" t="s">
        <v>162</v>
      </c>
      <c r="C28" s="224"/>
      <c r="D28" s="224"/>
      <c r="E28" s="224"/>
      <c r="F28" s="224"/>
      <c r="G28" s="224"/>
      <c r="H28" s="224"/>
      <c r="I28" s="224"/>
      <c r="J28" s="224"/>
      <c r="K28" s="224"/>
      <c r="L28" s="224"/>
      <c r="M28" s="224"/>
      <c r="N28" s="262">
        <f>SUM(N26:N27)</f>
        <v>70.066999999999993</v>
      </c>
      <c r="O28" s="262">
        <f t="shared" ref="O28:Y28" si="4">SUM(O26:O27)</f>
        <v>98.28</v>
      </c>
      <c r="P28" s="262">
        <f>SUM(P26:P27)</f>
        <v>123.13</v>
      </c>
      <c r="Q28" s="262">
        <f t="shared" si="4"/>
        <v>126.33452700000001</v>
      </c>
      <c r="R28" s="262">
        <f t="shared" si="4"/>
        <v>156.03988666000001</v>
      </c>
      <c r="S28" s="262">
        <f t="shared" si="4"/>
        <v>29.759791</v>
      </c>
      <c r="T28" s="262">
        <f t="shared" si="4"/>
        <v>3.2526753300000002</v>
      </c>
      <c r="U28" s="262">
        <f t="shared" si="4"/>
        <v>7.6643581199999993</v>
      </c>
      <c r="V28" s="262">
        <f t="shared" si="4"/>
        <v>13.45643675</v>
      </c>
      <c r="W28" s="262">
        <f t="shared" si="4"/>
        <v>9.1665120000000009</v>
      </c>
      <c r="X28" s="262">
        <f t="shared" si="4"/>
        <v>6.6910869999999996</v>
      </c>
      <c r="Y28" s="263">
        <f t="shared" si="4"/>
        <v>0.535663</v>
      </c>
    </row>
    <row r="29" spans="2:25" x14ac:dyDescent="0.25">
      <c r="B29" s="217"/>
      <c r="C29" s="224"/>
      <c r="D29" s="224"/>
      <c r="E29" s="224"/>
      <c r="F29" s="224"/>
      <c r="G29" s="224"/>
      <c r="H29" s="224"/>
      <c r="I29" s="224"/>
      <c r="J29" s="224"/>
      <c r="K29" s="224"/>
      <c r="L29" s="224"/>
      <c r="M29" s="224"/>
      <c r="N29" s="264"/>
      <c r="O29" s="253"/>
      <c r="P29" s="253"/>
      <c r="Q29" s="253"/>
      <c r="R29" s="265"/>
      <c r="S29" s="241"/>
      <c r="T29" s="241"/>
      <c r="U29" s="241"/>
      <c r="V29" s="241"/>
      <c r="W29" s="241"/>
      <c r="X29" s="242"/>
      <c r="Y29" s="243"/>
    </row>
    <row r="30" spans="2:25" x14ac:dyDescent="0.25">
      <c r="B30" s="217" t="s">
        <v>163</v>
      </c>
      <c r="C30" s="223">
        <v>186</v>
      </c>
      <c r="D30" s="223">
        <v>159</v>
      </c>
      <c r="E30" s="223">
        <v>280</v>
      </c>
      <c r="F30" s="223">
        <v>186</v>
      </c>
      <c r="G30" s="223">
        <v>133</v>
      </c>
      <c r="H30" s="223">
        <v>200</v>
      </c>
      <c r="I30" s="223">
        <v>314</v>
      </c>
      <c r="J30" s="223">
        <v>191</v>
      </c>
      <c r="K30" s="223">
        <v>246</v>
      </c>
      <c r="L30" s="223">
        <v>159</v>
      </c>
      <c r="M30" s="223">
        <v>212</v>
      </c>
      <c r="N30" s="253">
        <v>312.7</v>
      </c>
      <c r="O30" s="253">
        <v>448.85</v>
      </c>
      <c r="P30" s="253">
        <v>186.69</v>
      </c>
      <c r="Q30" s="265">
        <f>138496104/1000000</f>
        <v>138.496104</v>
      </c>
      <c r="R30" s="265">
        <f>190202842.36/1000000</f>
        <v>190.20284236000001</v>
      </c>
      <c r="S30" s="265">
        <f>76528046.57/1000000</f>
        <v>76.528046569999987</v>
      </c>
      <c r="T30" s="265">
        <f>92200577.36/1000000</f>
        <v>92.200577359999997</v>
      </c>
      <c r="U30" s="265">
        <f>137814603.66/1000000</f>
        <v>137.81460365999999</v>
      </c>
      <c r="V30" s="265">
        <f>17498385.68/1000000</f>
        <v>17.498385679999998</v>
      </c>
      <c r="W30" s="265">
        <f>5557592.02/1000000</f>
        <v>5.5575920199999995</v>
      </c>
      <c r="X30" s="265">
        <f>8264774.43/1000000</f>
        <v>8.2647744299999992</v>
      </c>
      <c r="Y30" s="271">
        <f>2601147.24/1000000</f>
        <v>2.6011472400000004</v>
      </c>
    </row>
    <row r="31" spans="2:25" ht="15.75" thickBot="1" x14ac:dyDescent="0.3">
      <c r="B31" s="228" t="s">
        <v>164</v>
      </c>
      <c r="C31" s="274">
        <v>218</v>
      </c>
      <c r="D31" s="275">
        <v>195</v>
      </c>
      <c r="E31" s="275">
        <v>182</v>
      </c>
      <c r="F31" s="275">
        <v>553</v>
      </c>
      <c r="G31" s="275">
        <v>574</v>
      </c>
      <c r="H31" s="275">
        <v>1359</v>
      </c>
      <c r="I31" s="275">
        <v>963</v>
      </c>
      <c r="J31" s="275">
        <v>1202</v>
      </c>
      <c r="K31" s="275">
        <v>1095</v>
      </c>
      <c r="L31" s="275">
        <v>1084</v>
      </c>
      <c r="M31" s="275">
        <v>1267</v>
      </c>
      <c r="N31" s="258">
        <v>1264.5999999999999</v>
      </c>
      <c r="O31" s="258">
        <v>1616.05</v>
      </c>
      <c r="P31" s="258">
        <v>1147.1199999999999</v>
      </c>
      <c r="Q31" s="276">
        <f>902659142/1000000</f>
        <v>902.65914199999997</v>
      </c>
      <c r="R31" s="276">
        <f>805913091.93/1000000</f>
        <v>805.91309192999995</v>
      </c>
      <c r="S31" s="276">
        <f>1038449796/1000000</f>
        <v>1038.4497960000001</v>
      </c>
      <c r="T31" s="276">
        <f>1023770121.91/1000000</f>
        <v>1023.7701219099999</v>
      </c>
      <c r="U31" s="276">
        <f>885006152.52/1000000</f>
        <v>885.00615252</v>
      </c>
      <c r="V31" s="276">
        <f>1104740418.31/1000000</f>
        <v>1104.74041831</v>
      </c>
      <c r="W31" s="276">
        <f>1354062843.37/1000000</f>
        <v>1354.0628433699999</v>
      </c>
      <c r="X31" s="276">
        <f>1274803212.8/1000000</f>
        <v>1274.8032128</v>
      </c>
      <c r="Y31" s="277">
        <f>950953929.36/1000000</f>
        <v>950.95392935999996</v>
      </c>
    </row>
    <row r="32" spans="2:25" ht="15.75" thickTop="1" x14ac:dyDescent="0.25">
      <c r="B32" s="229" t="s">
        <v>165</v>
      </c>
      <c r="C32" s="278">
        <f t="shared" ref="C32:Y32" si="5">C31+C30</f>
        <v>404</v>
      </c>
      <c r="D32" s="279">
        <f t="shared" si="5"/>
        <v>354</v>
      </c>
      <c r="E32" s="279">
        <f t="shared" si="5"/>
        <v>462</v>
      </c>
      <c r="F32" s="279">
        <f t="shared" si="5"/>
        <v>739</v>
      </c>
      <c r="G32" s="279">
        <f t="shared" si="5"/>
        <v>707</v>
      </c>
      <c r="H32" s="279">
        <f t="shared" si="5"/>
        <v>1559</v>
      </c>
      <c r="I32" s="279">
        <f t="shared" si="5"/>
        <v>1277</v>
      </c>
      <c r="J32" s="279">
        <f t="shared" si="5"/>
        <v>1393</v>
      </c>
      <c r="K32" s="279">
        <f t="shared" si="5"/>
        <v>1341</v>
      </c>
      <c r="L32" s="279">
        <f t="shared" si="5"/>
        <v>1243</v>
      </c>
      <c r="M32" s="279">
        <f t="shared" si="5"/>
        <v>1479</v>
      </c>
      <c r="N32" s="279">
        <f t="shared" si="5"/>
        <v>1577.3</v>
      </c>
      <c r="O32" s="279">
        <f t="shared" si="5"/>
        <v>2064.9</v>
      </c>
      <c r="P32" s="279">
        <f t="shared" si="5"/>
        <v>1333.81</v>
      </c>
      <c r="Q32" s="279">
        <f t="shared" si="5"/>
        <v>1041.155246</v>
      </c>
      <c r="R32" s="279">
        <f t="shared" si="5"/>
        <v>996.11593428999993</v>
      </c>
      <c r="S32" s="279">
        <f t="shared" si="5"/>
        <v>1114.9778425700001</v>
      </c>
      <c r="T32" s="279">
        <f t="shared" si="5"/>
        <v>1115.9706992699998</v>
      </c>
      <c r="U32" s="279">
        <f t="shared" si="5"/>
        <v>1022.82075618</v>
      </c>
      <c r="V32" s="279">
        <f t="shared" si="5"/>
        <v>1122.23880399</v>
      </c>
      <c r="W32" s="279">
        <f t="shared" si="5"/>
        <v>1359.6204353899998</v>
      </c>
      <c r="X32" s="279">
        <f t="shared" si="5"/>
        <v>1283.06798723</v>
      </c>
      <c r="Y32" s="280">
        <f t="shared" si="5"/>
        <v>953.55507660000001</v>
      </c>
    </row>
    <row r="33" spans="2:25" x14ac:dyDescent="0.25">
      <c r="B33" s="228"/>
      <c r="C33" s="281"/>
      <c r="D33" s="282"/>
      <c r="E33" s="282"/>
      <c r="F33" s="282"/>
      <c r="G33" s="282"/>
      <c r="H33" s="282"/>
      <c r="I33" s="282"/>
      <c r="J33" s="282"/>
      <c r="K33" s="282"/>
      <c r="L33" s="282"/>
      <c r="M33" s="282"/>
      <c r="N33" s="282"/>
      <c r="O33" s="283"/>
      <c r="P33" s="283"/>
      <c r="Q33" s="283"/>
      <c r="R33" s="284"/>
      <c r="S33" s="241"/>
      <c r="T33" s="241"/>
      <c r="U33" s="241"/>
      <c r="V33" s="241"/>
      <c r="W33" s="241"/>
      <c r="X33" s="242"/>
      <c r="Y33" s="243"/>
    </row>
    <row r="34" spans="2:25" x14ac:dyDescent="0.25">
      <c r="B34" s="228" t="s">
        <v>166</v>
      </c>
      <c r="C34" s="285">
        <v>0</v>
      </c>
      <c r="D34" s="239">
        <v>2</v>
      </c>
      <c r="E34" s="239">
        <v>0</v>
      </c>
      <c r="F34" s="286">
        <v>0</v>
      </c>
      <c r="G34" s="286">
        <v>0</v>
      </c>
      <c r="H34" s="286">
        <v>0</v>
      </c>
      <c r="I34" s="286">
        <v>1</v>
      </c>
      <c r="J34" s="286">
        <v>1</v>
      </c>
      <c r="K34" s="286">
        <v>0</v>
      </c>
      <c r="L34" s="286">
        <v>0</v>
      </c>
      <c r="M34" s="286">
        <v>1</v>
      </c>
      <c r="N34" s="286">
        <v>0</v>
      </c>
      <c r="O34" s="286">
        <v>3</v>
      </c>
      <c r="P34" s="286">
        <v>2</v>
      </c>
      <c r="Q34" s="239">
        <v>2</v>
      </c>
      <c r="R34" s="239">
        <v>1</v>
      </c>
      <c r="S34" s="239">
        <v>0</v>
      </c>
      <c r="T34" s="239">
        <v>0</v>
      </c>
      <c r="U34" s="239">
        <v>0</v>
      </c>
      <c r="V34" s="239">
        <v>0</v>
      </c>
      <c r="W34" s="239">
        <v>0</v>
      </c>
      <c r="X34" s="239">
        <v>0</v>
      </c>
      <c r="Y34" s="287">
        <v>0</v>
      </c>
    </row>
    <row r="35" spans="2:25" x14ac:dyDescent="0.25">
      <c r="B35" s="228" t="s">
        <v>167</v>
      </c>
      <c r="C35" s="285">
        <v>29</v>
      </c>
      <c r="D35" s="239">
        <v>16</v>
      </c>
      <c r="E35" s="239">
        <v>29</v>
      </c>
      <c r="F35" s="239">
        <v>5</v>
      </c>
      <c r="G35" s="239">
        <v>16</v>
      </c>
      <c r="H35" s="239">
        <v>19</v>
      </c>
      <c r="I35" s="239">
        <v>14</v>
      </c>
      <c r="J35" s="239">
        <v>8</v>
      </c>
      <c r="K35" s="239">
        <v>10</v>
      </c>
      <c r="L35" s="239">
        <v>3</v>
      </c>
      <c r="M35" s="239">
        <v>16</v>
      </c>
      <c r="N35" s="239">
        <v>11</v>
      </c>
      <c r="O35" s="239">
        <v>15</v>
      </c>
      <c r="P35" s="239">
        <v>9</v>
      </c>
      <c r="Q35" s="240">
        <v>1</v>
      </c>
      <c r="R35" s="240">
        <v>1</v>
      </c>
      <c r="S35" s="240">
        <v>0</v>
      </c>
      <c r="T35" s="240">
        <v>0</v>
      </c>
      <c r="U35" s="240">
        <v>1</v>
      </c>
      <c r="V35" s="240">
        <v>2</v>
      </c>
      <c r="W35" s="240">
        <v>0</v>
      </c>
      <c r="X35" s="240">
        <v>1</v>
      </c>
      <c r="Y35" s="288">
        <v>1</v>
      </c>
    </row>
    <row r="36" spans="2:25" ht="15.75" thickBot="1" x14ac:dyDescent="0.3">
      <c r="B36" s="228" t="s">
        <v>168</v>
      </c>
      <c r="C36" s="289">
        <v>1</v>
      </c>
      <c r="D36" s="290">
        <v>0</v>
      </c>
      <c r="E36" s="290">
        <v>2</v>
      </c>
      <c r="F36" s="290">
        <v>5</v>
      </c>
      <c r="G36" s="290">
        <v>2</v>
      </c>
      <c r="H36" s="290">
        <v>2</v>
      </c>
      <c r="I36" s="290">
        <v>0</v>
      </c>
      <c r="J36" s="290">
        <v>2</v>
      </c>
      <c r="K36" s="290">
        <v>1</v>
      </c>
      <c r="L36" s="290">
        <v>0</v>
      </c>
      <c r="M36" s="290">
        <v>1</v>
      </c>
      <c r="N36" s="290">
        <v>0</v>
      </c>
      <c r="O36" s="290">
        <v>1</v>
      </c>
      <c r="P36" s="290">
        <v>0</v>
      </c>
      <c r="Q36" s="291">
        <v>1</v>
      </c>
      <c r="R36" s="291">
        <v>1</v>
      </c>
      <c r="S36" s="291">
        <v>1</v>
      </c>
      <c r="T36" s="291">
        <v>0</v>
      </c>
      <c r="U36" s="291">
        <v>0</v>
      </c>
      <c r="V36" s="291">
        <v>0</v>
      </c>
      <c r="W36" s="291">
        <v>1</v>
      </c>
      <c r="X36" s="291">
        <v>0</v>
      </c>
      <c r="Y36" s="292">
        <v>0</v>
      </c>
    </row>
    <row r="37" spans="2:25" ht="15.75" thickTop="1" x14ac:dyDescent="0.25">
      <c r="B37" s="230" t="s">
        <v>169</v>
      </c>
      <c r="C37" s="293">
        <v>30</v>
      </c>
      <c r="D37" s="236">
        <v>18</v>
      </c>
      <c r="E37" s="236">
        <v>31</v>
      </c>
      <c r="F37" s="236">
        <v>10</v>
      </c>
      <c r="G37" s="236">
        <v>18</v>
      </c>
      <c r="H37" s="236">
        <v>21</v>
      </c>
      <c r="I37" s="236">
        <v>15</v>
      </c>
      <c r="J37" s="236">
        <v>11</v>
      </c>
      <c r="K37" s="236">
        <v>11</v>
      </c>
      <c r="L37" s="236">
        <v>3</v>
      </c>
      <c r="M37" s="236">
        <v>18</v>
      </c>
      <c r="N37" s="236">
        <v>11</v>
      </c>
      <c r="O37" s="236">
        <v>19</v>
      </c>
      <c r="P37" s="236">
        <v>11</v>
      </c>
      <c r="Q37" s="294">
        <f>Q34+Q35+Q36</f>
        <v>4</v>
      </c>
      <c r="R37" s="294">
        <f t="shared" ref="R37:W37" si="6">SUM(R34:R36)</f>
        <v>3</v>
      </c>
      <c r="S37" s="294">
        <f t="shared" si="6"/>
        <v>1</v>
      </c>
      <c r="T37" s="294">
        <f t="shared" si="6"/>
        <v>0</v>
      </c>
      <c r="U37" s="294">
        <f t="shared" si="6"/>
        <v>1</v>
      </c>
      <c r="V37" s="294">
        <f t="shared" si="6"/>
        <v>2</v>
      </c>
      <c r="W37" s="294">
        <f t="shared" si="6"/>
        <v>1</v>
      </c>
      <c r="X37" s="294">
        <f t="shared" ref="X37:Y37" si="7">SUM(X34:X36)</f>
        <v>1</v>
      </c>
      <c r="Y37" s="295">
        <f t="shared" si="7"/>
        <v>1</v>
      </c>
    </row>
    <row r="38" spans="2:25" x14ac:dyDescent="0.25">
      <c r="B38" s="230"/>
      <c r="C38" s="296"/>
      <c r="D38" s="238"/>
      <c r="E38" s="238"/>
      <c r="F38" s="238"/>
      <c r="G38" s="238"/>
      <c r="H38" s="238"/>
      <c r="I38" s="238"/>
      <c r="J38" s="238"/>
      <c r="K38" s="238"/>
      <c r="L38" s="238"/>
      <c r="M38" s="238"/>
      <c r="N38" s="238"/>
      <c r="O38" s="238"/>
      <c r="P38" s="238"/>
      <c r="Q38" s="297"/>
      <c r="R38" s="297"/>
      <c r="S38" s="297"/>
      <c r="T38" s="297"/>
      <c r="U38" s="297"/>
      <c r="V38" s="297"/>
      <c r="W38" s="297"/>
      <c r="X38" s="242"/>
      <c r="Y38" s="243"/>
    </row>
    <row r="39" spans="2:25" x14ac:dyDescent="0.25">
      <c r="B39" s="228" t="s">
        <v>170</v>
      </c>
      <c r="C39" s="298">
        <v>9</v>
      </c>
      <c r="D39" s="299">
        <v>8</v>
      </c>
      <c r="E39" s="299">
        <v>5</v>
      </c>
      <c r="F39" s="299">
        <v>12</v>
      </c>
      <c r="G39" s="299">
        <v>20</v>
      </c>
      <c r="H39" s="299">
        <v>16</v>
      </c>
      <c r="I39" s="299">
        <v>12</v>
      </c>
      <c r="J39" s="299">
        <v>14</v>
      </c>
      <c r="K39" s="299">
        <v>9</v>
      </c>
      <c r="L39" s="299">
        <v>13</v>
      </c>
      <c r="M39" s="299">
        <v>12</v>
      </c>
      <c r="N39" s="239">
        <v>12</v>
      </c>
      <c r="O39" s="239">
        <v>9</v>
      </c>
      <c r="P39" s="239">
        <v>15</v>
      </c>
      <c r="Q39" s="240">
        <v>12</v>
      </c>
      <c r="R39" s="240">
        <v>16</v>
      </c>
      <c r="S39" s="240">
        <v>4</v>
      </c>
      <c r="T39" s="240">
        <v>5</v>
      </c>
      <c r="U39" s="240">
        <v>1</v>
      </c>
      <c r="V39" s="240">
        <v>11</v>
      </c>
      <c r="W39" s="240">
        <v>4</v>
      </c>
      <c r="X39" s="240">
        <v>1</v>
      </c>
      <c r="Y39" s="288">
        <v>1</v>
      </c>
    </row>
    <row r="40" spans="2:25" x14ac:dyDescent="0.25">
      <c r="B40" s="228" t="s">
        <v>171</v>
      </c>
      <c r="C40" s="298">
        <v>2</v>
      </c>
      <c r="D40" s="299">
        <v>2</v>
      </c>
      <c r="E40" s="299">
        <v>1</v>
      </c>
      <c r="F40" s="299">
        <v>2</v>
      </c>
      <c r="G40" s="299">
        <v>4</v>
      </c>
      <c r="H40" s="299">
        <v>4</v>
      </c>
      <c r="I40" s="299">
        <v>1</v>
      </c>
      <c r="J40" s="299">
        <v>6</v>
      </c>
      <c r="K40" s="299">
        <v>2</v>
      </c>
      <c r="L40" s="299">
        <v>1</v>
      </c>
      <c r="M40" s="299">
        <v>1</v>
      </c>
      <c r="N40" s="239">
        <v>3</v>
      </c>
      <c r="O40" s="239">
        <v>2</v>
      </c>
      <c r="P40" s="239">
        <v>2</v>
      </c>
      <c r="Q40" s="240">
        <v>3</v>
      </c>
      <c r="R40" s="240">
        <v>1</v>
      </c>
      <c r="S40" s="240">
        <v>1</v>
      </c>
      <c r="T40" s="240">
        <v>1</v>
      </c>
      <c r="U40" s="240">
        <v>0</v>
      </c>
      <c r="V40" s="240">
        <v>0</v>
      </c>
      <c r="W40" s="240">
        <v>1</v>
      </c>
      <c r="X40" s="240">
        <v>0</v>
      </c>
      <c r="Y40" s="288">
        <v>0</v>
      </c>
    </row>
    <row r="41" spans="2:25" ht="15.75" thickBot="1" x14ac:dyDescent="0.3">
      <c r="B41" s="228" t="s">
        <v>172</v>
      </c>
      <c r="C41" s="300">
        <v>3</v>
      </c>
      <c r="D41" s="301">
        <v>0</v>
      </c>
      <c r="E41" s="301">
        <v>0</v>
      </c>
      <c r="F41" s="301">
        <v>0</v>
      </c>
      <c r="G41" s="301">
        <v>1</v>
      </c>
      <c r="H41" s="301">
        <v>0</v>
      </c>
      <c r="I41" s="301">
        <v>0</v>
      </c>
      <c r="J41" s="301">
        <v>1</v>
      </c>
      <c r="K41" s="301">
        <v>0</v>
      </c>
      <c r="L41" s="301">
        <v>0</v>
      </c>
      <c r="M41" s="301">
        <v>0</v>
      </c>
      <c r="N41" s="301">
        <v>0</v>
      </c>
      <c r="O41" s="290">
        <v>0</v>
      </c>
      <c r="P41" s="290">
        <v>2</v>
      </c>
      <c r="Q41" s="291">
        <v>1</v>
      </c>
      <c r="R41" s="291">
        <v>0</v>
      </c>
      <c r="S41" s="291">
        <v>0</v>
      </c>
      <c r="T41" s="291">
        <v>0</v>
      </c>
      <c r="U41" s="291">
        <v>0</v>
      </c>
      <c r="V41" s="291">
        <v>0</v>
      </c>
      <c r="W41" s="291">
        <v>0</v>
      </c>
      <c r="X41" s="291">
        <v>0</v>
      </c>
      <c r="Y41" s="292">
        <v>0</v>
      </c>
    </row>
    <row r="42" spans="2:25" ht="15.75" thickTop="1" x14ac:dyDescent="0.25">
      <c r="B42" s="230" t="s">
        <v>173</v>
      </c>
      <c r="C42" s="302">
        <v>14</v>
      </c>
      <c r="D42" s="303">
        <v>10</v>
      </c>
      <c r="E42" s="303">
        <v>6</v>
      </c>
      <c r="F42" s="303">
        <v>14</v>
      </c>
      <c r="G42" s="303">
        <v>25</v>
      </c>
      <c r="H42" s="303">
        <v>20</v>
      </c>
      <c r="I42" s="303">
        <v>13</v>
      </c>
      <c r="J42" s="303">
        <v>21</v>
      </c>
      <c r="K42" s="303">
        <v>11</v>
      </c>
      <c r="L42" s="303">
        <v>14</v>
      </c>
      <c r="M42" s="303">
        <v>13</v>
      </c>
      <c r="N42" s="236">
        <v>15</v>
      </c>
      <c r="O42" s="236">
        <v>11</v>
      </c>
      <c r="P42" s="236">
        <v>19</v>
      </c>
      <c r="Q42" s="294">
        <f>Q41+Q40+Q39</f>
        <v>16</v>
      </c>
      <c r="R42" s="294">
        <f t="shared" ref="R42:X42" si="8">SUM(R39:R41)</f>
        <v>17</v>
      </c>
      <c r="S42" s="294">
        <f t="shared" si="8"/>
        <v>5</v>
      </c>
      <c r="T42" s="294">
        <f t="shared" si="8"/>
        <v>6</v>
      </c>
      <c r="U42" s="294">
        <f t="shared" si="8"/>
        <v>1</v>
      </c>
      <c r="V42" s="294">
        <f t="shared" si="8"/>
        <v>11</v>
      </c>
      <c r="W42" s="294">
        <f t="shared" si="8"/>
        <v>5</v>
      </c>
      <c r="X42" s="294">
        <f t="shared" si="8"/>
        <v>1</v>
      </c>
      <c r="Y42" s="295">
        <f t="shared" ref="Y42" si="9">SUM(Y39:Y41)</f>
        <v>1</v>
      </c>
    </row>
    <row r="43" spans="2:25" x14ac:dyDescent="0.25">
      <c r="B43" s="230"/>
      <c r="C43" s="304"/>
      <c r="D43" s="305"/>
      <c r="E43" s="305"/>
      <c r="F43" s="305"/>
      <c r="G43" s="305"/>
      <c r="H43" s="305"/>
      <c r="I43" s="305"/>
      <c r="J43" s="305"/>
      <c r="K43" s="305"/>
      <c r="L43" s="305"/>
      <c r="M43" s="305"/>
      <c r="N43" s="238"/>
      <c r="O43" s="238"/>
      <c r="P43" s="238"/>
      <c r="Q43" s="297"/>
      <c r="R43" s="297"/>
      <c r="S43" s="297"/>
      <c r="T43" s="297"/>
      <c r="U43" s="297"/>
      <c r="V43" s="297"/>
      <c r="W43" s="297"/>
      <c r="X43" s="242"/>
      <c r="Y43" s="243"/>
    </row>
    <row r="44" spans="2:25" x14ac:dyDescent="0.25">
      <c r="B44" s="228" t="s">
        <v>174</v>
      </c>
      <c r="C44" s="285">
        <v>82</v>
      </c>
      <c r="D44" s="239">
        <v>86</v>
      </c>
      <c r="E44" s="239">
        <v>105</v>
      </c>
      <c r="F44" s="239">
        <v>104</v>
      </c>
      <c r="G44" s="239">
        <v>79</v>
      </c>
      <c r="H44" s="239">
        <v>76</v>
      </c>
      <c r="I44" s="239">
        <v>89</v>
      </c>
      <c r="J44" s="239">
        <v>71</v>
      </c>
      <c r="K44" s="239">
        <v>70</v>
      </c>
      <c r="L44" s="239">
        <v>73</v>
      </c>
      <c r="M44" s="239">
        <v>56</v>
      </c>
      <c r="N44" s="239">
        <v>52</v>
      </c>
      <c r="O44" s="239">
        <v>59</v>
      </c>
      <c r="P44" s="239">
        <v>51</v>
      </c>
      <c r="Q44" s="240">
        <v>42</v>
      </c>
      <c r="R44" s="240">
        <v>33</v>
      </c>
      <c r="S44" s="240">
        <v>29</v>
      </c>
      <c r="T44" s="240">
        <v>23</v>
      </c>
      <c r="U44" s="240">
        <v>23</v>
      </c>
      <c r="V44" s="240">
        <v>14</v>
      </c>
      <c r="W44" s="240">
        <v>10</v>
      </c>
      <c r="X44" s="240">
        <v>11</v>
      </c>
      <c r="Y44" s="288">
        <v>12</v>
      </c>
    </row>
    <row r="45" spans="2:25" ht="15.75" thickBot="1" x14ac:dyDescent="0.3">
      <c r="B45" s="228" t="s">
        <v>175</v>
      </c>
      <c r="C45" s="289">
        <v>12</v>
      </c>
      <c r="D45" s="290">
        <v>12</v>
      </c>
      <c r="E45" s="290">
        <v>14</v>
      </c>
      <c r="F45" s="290">
        <v>19</v>
      </c>
      <c r="G45" s="290">
        <v>21</v>
      </c>
      <c r="H45" s="290">
        <v>23</v>
      </c>
      <c r="I45" s="290">
        <v>23</v>
      </c>
      <c r="J45" s="290">
        <v>24</v>
      </c>
      <c r="K45" s="290">
        <v>23</v>
      </c>
      <c r="L45" s="290">
        <v>23</v>
      </c>
      <c r="M45" s="290">
        <v>24</v>
      </c>
      <c r="N45" s="290">
        <v>24</v>
      </c>
      <c r="O45" s="290">
        <v>25</v>
      </c>
      <c r="P45" s="290">
        <v>25</v>
      </c>
      <c r="Q45" s="291">
        <v>25</v>
      </c>
      <c r="R45" s="291">
        <v>26</v>
      </c>
      <c r="S45" s="291">
        <v>27</v>
      </c>
      <c r="T45" s="291">
        <v>27</v>
      </c>
      <c r="U45" s="291">
        <v>27</v>
      </c>
      <c r="V45" s="291">
        <v>27</v>
      </c>
      <c r="W45" s="291">
        <v>27</v>
      </c>
      <c r="X45" s="291">
        <v>26</v>
      </c>
      <c r="Y45" s="292">
        <v>25</v>
      </c>
    </row>
    <row r="46" spans="2:25" ht="16.5" thickTop="1" thickBot="1" x14ac:dyDescent="0.3">
      <c r="B46" s="231" t="s">
        <v>176</v>
      </c>
      <c r="C46" s="306">
        <f>SUM(C44:C45)</f>
        <v>94</v>
      </c>
      <c r="D46" s="307">
        <f t="shared" ref="D46:T46" si="10">SUM(D44:D45)</f>
        <v>98</v>
      </c>
      <c r="E46" s="307">
        <f t="shared" si="10"/>
        <v>119</v>
      </c>
      <c r="F46" s="307">
        <f t="shared" si="10"/>
        <v>123</v>
      </c>
      <c r="G46" s="307">
        <f t="shared" si="10"/>
        <v>100</v>
      </c>
      <c r="H46" s="307">
        <f t="shared" si="10"/>
        <v>99</v>
      </c>
      <c r="I46" s="307">
        <f t="shared" si="10"/>
        <v>112</v>
      </c>
      <c r="J46" s="307">
        <f t="shared" si="10"/>
        <v>95</v>
      </c>
      <c r="K46" s="307">
        <f t="shared" si="10"/>
        <v>93</v>
      </c>
      <c r="L46" s="307">
        <f t="shared" si="10"/>
        <v>96</v>
      </c>
      <c r="M46" s="307">
        <f t="shared" si="10"/>
        <v>80</v>
      </c>
      <c r="N46" s="307">
        <f t="shared" si="10"/>
        <v>76</v>
      </c>
      <c r="O46" s="307">
        <f t="shared" si="10"/>
        <v>84</v>
      </c>
      <c r="P46" s="307">
        <f t="shared" si="10"/>
        <v>76</v>
      </c>
      <c r="Q46" s="307">
        <f t="shared" si="10"/>
        <v>67</v>
      </c>
      <c r="R46" s="307">
        <f t="shared" si="10"/>
        <v>59</v>
      </c>
      <c r="S46" s="307">
        <f t="shared" si="10"/>
        <v>56</v>
      </c>
      <c r="T46" s="307">
        <f t="shared" si="10"/>
        <v>50</v>
      </c>
      <c r="U46" s="307">
        <f>SUM(U44:U45)</f>
        <v>50</v>
      </c>
      <c r="V46" s="307">
        <f>SUM(V44:V45)</f>
        <v>41</v>
      </c>
      <c r="W46" s="307">
        <f>SUM(W44:W45)</f>
        <v>37</v>
      </c>
      <c r="X46" s="307">
        <f>SUM(X44:X45)</f>
        <v>37</v>
      </c>
      <c r="Y46" s="308">
        <f>SUM(Y44:Y45)</f>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072"/>
    <pageSetUpPr fitToPage="1"/>
  </sheetPr>
  <dimension ref="A1:U36"/>
  <sheetViews>
    <sheetView zoomScale="85" zoomScaleNormal="85" zoomScalePageLayoutView="85" workbookViewId="0"/>
  </sheetViews>
  <sheetFormatPr defaultColWidth="11.42578125" defaultRowHeight="15" x14ac:dyDescent="0.25"/>
  <cols>
    <col min="1" max="1" width="11.42578125" style="4"/>
    <col min="2" max="2" width="37.7109375" customWidth="1"/>
    <col min="3" max="3" width="19.7109375" customWidth="1"/>
    <col min="4" max="5" width="12.7109375" customWidth="1"/>
    <col min="6" max="6" width="10.7109375" customWidth="1"/>
    <col min="7" max="8" width="12.7109375" customWidth="1"/>
    <col min="9" max="9" width="10.7109375" customWidth="1"/>
    <col min="10" max="11" width="12.7109375" customWidth="1"/>
    <col min="12" max="12" width="10.7109375" customWidth="1"/>
    <col min="13" max="14" width="12.7109375" customWidth="1"/>
    <col min="15" max="15" width="8.7109375" customWidth="1"/>
    <col min="16" max="17" width="12.7109375" customWidth="1"/>
    <col min="18" max="18" width="8.7109375" customWidth="1"/>
    <col min="19" max="20" width="12.7109375" customWidth="1"/>
    <col min="21" max="21" width="8.7109375" customWidth="1"/>
  </cols>
  <sheetData>
    <row r="1" spans="2:21" ht="15" customHeight="1" x14ac:dyDescent="0.25"/>
    <row r="2" spans="2:21" ht="21" customHeight="1" x14ac:dyDescent="0.35">
      <c r="B2" s="330" t="s">
        <v>0</v>
      </c>
      <c r="C2" s="331"/>
      <c r="D2" s="331"/>
      <c r="E2" s="331"/>
      <c r="F2" s="331"/>
      <c r="G2" s="331"/>
      <c r="H2" s="331"/>
      <c r="I2" s="331"/>
      <c r="J2" s="331"/>
      <c r="K2" s="331"/>
      <c r="L2" s="331"/>
      <c r="M2" s="331"/>
      <c r="N2" s="331"/>
      <c r="O2" s="331"/>
      <c r="P2" s="331"/>
      <c r="Q2" s="331"/>
      <c r="R2" s="331"/>
      <c r="S2" s="331"/>
      <c r="T2" s="331"/>
      <c r="U2" s="331"/>
    </row>
    <row r="3" spans="2:21" ht="15" customHeight="1" thickBot="1" x14ac:dyDescent="0.3"/>
    <row r="4" spans="2:21" ht="32.25" customHeight="1" x14ac:dyDescent="0.25">
      <c r="B4" s="319" t="s">
        <v>7</v>
      </c>
      <c r="C4" s="321" t="s">
        <v>8</v>
      </c>
      <c r="D4" s="328" t="s">
        <v>1</v>
      </c>
      <c r="E4" s="328"/>
      <c r="F4" s="328"/>
      <c r="G4" s="328" t="s">
        <v>2</v>
      </c>
      <c r="H4" s="328"/>
      <c r="I4" s="328"/>
      <c r="J4" s="328" t="s">
        <v>3</v>
      </c>
      <c r="K4" s="328"/>
      <c r="L4" s="328"/>
      <c r="M4" s="328" t="s">
        <v>4</v>
      </c>
      <c r="N4" s="328"/>
      <c r="O4" s="328"/>
      <c r="P4" s="328" t="s">
        <v>5</v>
      </c>
      <c r="Q4" s="328"/>
      <c r="R4" s="328"/>
      <c r="S4" s="328" t="s">
        <v>6</v>
      </c>
      <c r="T4" s="328"/>
      <c r="U4" s="329"/>
    </row>
    <row r="5" spans="2:21" x14ac:dyDescent="0.25">
      <c r="B5" s="320"/>
      <c r="C5" s="322"/>
      <c r="D5" s="29" t="s">
        <v>9</v>
      </c>
      <c r="E5" s="30" t="s">
        <v>10</v>
      </c>
      <c r="F5" s="31" t="s">
        <v>11</v>
      </c>
      <c r="G5" s="29" t="s">
        <v>9</v>
      </c>
      <c r="H5" s="30" t="s">
        <v>10</v>
      </c>
      <c r="I5" s="31" t="s">
        <v>11</v>
      </c>
      <c r="J5" s="29" t="s">
        <v>9</v>
      </c>
      <c r="K5" s="30" t="s">
        <v>10</v>
      </c>
      <c r="L5" s="31" t="s">
        <v>11</v>
      </c>
      <c r="M5" s="29" t="s">
        <v>9</v>
      </c>
      <c r="N5" s="30" t="s">
        <v>10</v>
      </c>
      <c r="O5" s="31" t="s">
        <v>11</v>
      </c>
      <c r="P5" s="29" t="s">
        <v>9</v>
      </c>
      <c r="Q5" s="30" t="s">
        <v>10</v>
      </c>
      <c r="R5" s="31" t="s">
        <v>11</v>
      </c>
      <c r="S5" s="29" t="s">
        <v>9</v>
      </c>
      <c r="T5" s="30" t="s">
        <v>10</v>
      </c>
      <c r="U5" s="32" t="s">
        <v>11</v>
      </c>
    </row>
    <row r="6" spans="2:21" x14ac:dyDescent="0.25">
      <c r="B6" s="5" t="s">
        <v>12</v>
      </c>
      <c r="C6" s="6" t="s">
        <v>13</v>
      </c>
      <c r="D6" s="7">
        <v>3.6069999999999998E-2</v>
      </c>
      <c r="E6" s="8">
        <v>0.22687346725269</v>
      </c>
      <c r="F6" s="9">
        <v>1.24648334523632</v>
      </c>
      <c r="G6" s="7">
        <v>4.0570000000000002E-2</v>
      </c>
      <c r="H6" s="8">
        <v>0.25517761481679002</v>
      </c>
      <c r="I6" s="9">
        <v>1.40199138664367</v>
      </c>
      <c r="J6" s="7">
        <v>4.5870000000000001E-2</v>
      </c>
      <c r="K6" s="8">
        <v>0.28851361083672999</v>
      </c>
      <c r="L6" s="9">
        <v>1.5851453020790101</v>
      </c>
      <c r="M6" s="7">
        <v>4.7000000000000002E-3</v>
      </c>
      <c r="N6" s="8">
        <v>2.956210967806E-2</v>
      </c>
      <c r="O6" s="9">
        <v>0.16241950991435</v>
      </c>
      <c r="P6" s="7">
        <v>9.1999999999999998E-3</v>
      </c>
      <c r="Q6" s="8">
        <v>5.7866257242159998E-2</v>
      </c>
      <c r="R6" s="9">
        <v>0.31792755132171002</v>
      </c>
      <c r="S6" s="7">
        <v>1.4500000000000001E-2</v>
      </c>
      <c r="T6" s="8">
        <v>9.1202253262100005E-2</v>
      </c>
      <c r="U6" s="10">
        <v>0.50108146675704002</v>
      </c>
    </row>
    <row r="7" spans="2:21" x14ac:dyDescent="0.25">
      <c r="B7" s="11" t="s">
        <v>14</v>
      </c>
      <c r="C7" s="12" t="s">
        <v>15</v>
      </c>
      <c r="D7" s="13">
        <v>3.78E-2</v>
      </c>
      <c r="E7" s="14">
        <v>0.23775483953844001</v>
      </c>
      <c r="F7" s="15">
        <v>1.1652407291133</v>
      </c>
      <c r="G7" s="13">
        <v>5.3400000000000003E-2</v>
      </c>
      <c r="H7" s="14">
        <v>0.33587588442732003</v>
      </c>
      <c r="I7" s="15">
        <v>1.6461337284299</v>
      </c>
      <c r="J7" s="13">
        <v>7.3899999999999993E-2</v>
      </c>
      <c r="K7" s="14">
        <v>0.46481700110822</v>
      </c>
      <c r="L7" s="15">
        <v>2.2780764518908199</v>
      </c>
      <c r="M7" s="13">
        <v>2.1100000000000001E-2</v>
      </c>
      <c r="N7" s="14">
        <v>0.13271500302278</v>
      </c>
      <c r="O7" s="15">
        <v>0.65043860805001996</v>
      </c>
      <c r="P7" s="13">
        <v>3.6700000000000003E-2</v>
      </c>
      <c r="Q7" s="14">
        <v>0.23083604791165999</v>
      </c>
      <c r="R7" s="15">
        <v>1.13133160736662</v>
      </c>
      <c r="S7" s="13">
        <v>5.7200000000000001E-2</v>
      </c>
      <c r="T7" s="14">
        <v>0.35977716459255998</v>
      </c>
      <c r="U7" s="16">
        <v>1.76327433082754</v>
      </c>
    </row>
    <row r="8" spans="2:21" x14ac:dyDescent="0.25">
      <c r="B8" s="11" t="s">
        <v>16</v>
      </c>
      <c r="C8" s="12" t="s">
        <v>13</v>
      </c>
      <c r="D8" s="13">
        <v>9.0004547035490004E-2</v>
      </c>
      <c r="E8" s="14">
        <v>0.56611155127389001</v>
      </c>
      <c r="F8" s="15">
        <v>3.4338283167322499</v>
      </c>
      <c r="G8" s="13">
        <v>0.12339188305995</v>
      </c>
      <c r="H8" s="14">
        <v>0.77611157029800004</v>
      </c>
      <c r="I8" s="15">
        <v>4.7076126269386203</v>
      </c>
      <c r="J8" s="13">
        <v>0.13611086821212001</v>
      </c>
      <c r="K8" s="14">
        <v>0.85611157754528</v>
      </c>
      <c r="L8" s="15">
        <v>5.1928637927315302</v>
      </c>
      <c r="M8" s="13">
        <v>2.702784344837E-2</v>
      </c>
      <c r="N8" s="14">
        <v>0.17000001540046999</v>
      </c>
      <c r="O8" s="15">
        <v>1.0311587273099201</v>
      </c>
      <c r="P8" s="13">
        <v>6.0415179472829997E-2</v>
      </c>
      <c r="Q8" s="14">
        <v>0.38000003442456998</v>
      </c>
      <c r="R8" s="15">
        <v>2.3049430375163</v>
      </c>
      <c r="S8" s="13">
        <v>7.3134164624999998E-2</v>
      </c>
      <c r="T8" s="14">
        <v>0.46000004167184999</v>
      </c>
      <c r="U8" s="16">
        <v>2.7901942033092002</v>
      </c>
    </row>
    <row r="9" spans="2:21" x14ac:dyDescent="0.25">
      <c r="B9" s="11" t="s">
        <v>17</v>
      </c>
      <c r="C9" s="12" t="s">
        <v>13</v>
      </c>
      <c r="D9" s="13">
        <v>9.9375000000000005E-2</v>
      </c>
      <c r="E9" s="14">
        <v>0.62504992537388004</v>
      </c>
      <c r="F9" s="15">
        <v>3.66852671635412</v>
      </c>
      <c r="G9" s="13">
        <v>0.1073568</v>
      </c>
      <c r="H9" s="14">
        <v>0.67525393537989997</v>
      </c>
      <c r="I9" s="15">
        <v>3.9631827822116801</v>
      </c>
      <c r="J9" s="13">
        <v>0.1200609</v>
      </c>
      <c r="K9" s="14">
        <v>0.75516031783969995</v>
      </c>
      <c r="L9" s="15">
        <v>4.4321672376304004</v>
      </c>
      <c r="M9" s="13">
        <v>2.0272499999999999E-2</v>
      </c>
      <c r="N9" s="14">
        <v>0.12751018477626999</v>
      </c>
      <c r="O9" s="15">
        <v>0.74837945013623997</v>
      </c>
      <c r="P9" s="13">
        <v>2.82543E-2</v>
      </c>
      <c r="Q9" s="14">
        <v>0.17771419478229999</v>
      </c>
      <c r="R9" s="15">
        <v>1.0430355159938001</v>
      </c>
      <c r="S9" s="13">
        <v>4.0958399999999999E-2</v>
      </c>
      <c r="T9" s="14">
        <v>0.25762057724210002</v>
      </c>
      <c r="U9" s="16">
        <v>1.51201997141251</v>
      </c>
    </row>
    <row r="10" spans="2:21" x14ac:dyDescent="0.25">
      <c r="B10" s="11" t="s">
        <v>18</v>
      </c>
      <c r="C10" s="12" t="s">
        <v>13</v>
      </c>
      <c r="D10" s="13">
        <v>0.12935180727760001</v>
      </c>
      <c r="E10" s="14">
        <v>0.81359836463739998</v>
      </c>
      <c r="F10" s="15">
        <v>4.8070813936384402</v>
      </c>
      <c r="G10" s="13">
        <v>0.12935180727760001</v>
      </c>
      <c r="H10" s="14">
        <v>0.81359836463739998</v>
      </c>
      <c r="I10" s="15">
        <v>4.8070813936384402</v>
      </c>
      <c r="J10" s="13">
        <v>0.12935180727760001</v>
      </c>
      <c r="K10" s="14">
        <v>0.81359836463739998</v>
      </c>
      <c r="L10" s="15">
        <v>4.8070813936384402</v>
      </c>
      <c r="M10" s="13" t="s">
        <v>19</v>
      </c>
      <c r="N10" s="14" t="s">
        <v>19</v>
      </c>
      <c r="O10" s="15" t="s">
        <v>19</v>
      </c>
      <c r="P10" s="13" t="s">
        <v>19</v>
      </c>
      <c r="Q10" s="14" t="s">
        <v>19</v>
      </c>
      <c r="R10" s="15" t="s">
        <v>19</v>
      </c>
      <c r="S10" s="13" t="s">
        <v>19</v>
      </c>
      <c r="T10" s="14" t="s">
        <v>19</v>
      </c>
      <c r="U10" s="16" t="s">
        <v>19</v>
      </c>
    </row>
    <row r="11" spans="2:21" x14ac:dyDescent="0.25">
      <c r="B11" s="11" t="s">
        <v>20</v>
      </c>
      <c r="C11" s="12" t="s">
        <v>13</v>
      </c>
      <c r="D11" s="13">
        <v>0.22594317277466</v>
      </c>
      <c r="E11" s="14">
        <v>1.4211397562922099</v>
      </c>
      <c r="F11" s="15">
        <v>8.4842809186434902</v>
      </c>
      <c r="G11" s="13">
        <v>0.23548241163879</v>
      </c>
      <c r="H11" s="14">
        <v>1.48113976172767</v>
      </c>
      <c r="I11" s="15">
        <v>8.8424841840019308</v>
      </c>
      <c r="J11" s="13">
        <v>0.26410012823119</v>
      </c>
      <c r="K11" s="14">
        <v>1.66113977803404</v>
      </c>
      <c r="L11" s="15">
        <v>9.9170939800772402</v>
      </c>
      <c r="M11" s="13">
        <v>2.3848097160330001E-2</v>
      </c>
      <c r="N11" s="14">
        <v>0.15000001358865001</v>
      </c>
      <c r="O11" s="15">
        <v>0.89550816339608996</v>
      </c>
      <c r="P11" s="13">
        <v>3.338733602446E-2</v>
      </c>
      <c r="Q11" s="14">
        <v>0.21000001902410001</v>
      </c>
      <c r="R11" s="15">
        <v>1.2537114287545299</v>
      </c>
      <c r="S11" s="13">
        <v>6.200505261685E-2</v>
      </c>
      <c r="T11" s="14">
        <v>0.39000003533048</v>
      </c>
      <c r="U11" s="16">
        <v>2.3283212248298502</v>
      </c>
    </row>
    <row r="12" spans="2:21" x14ac:dyDescent="0.25">
      <c r="B12" s="11" t="s">
        <v>21</v>
      </c>
      <c r="C12" s="12" t="s">
        <v>22</v>
      </c>
      <c r="D12" s="13">
        <v>0.28650493255363002</v>
      </c>
      <c r="E12" s="14">
        <v>1.80206175307567</v>
      </c>
      <c r="F12" s="15">
        <v>10.550343852835899</v>
      </c>
      <c r="G12" s="13">
        <v>0.28650493255363002</v>
      </c>
      <c r="H12" s="14">
        <v>1.80206175307567</v>
      </c>
      <c r="I12" s="15">
        <v>10.550343852835899</v>
      </c>
      <c r="J12" s="13">
        <v>0.28650493255363002</v>
      </c>
      <c r="K12" s="14">
        <v>1.80206175307567</v>
      </c>
      <c r="L12" s="15">
        <v>10.550343852835899</v>
      </c>
      <c r="M12" s="13" t="s">
        <v>19</v>
      </c>
      <c r="N12" s="14" t="s">
        <v>19</v>
      </c>
      <c r="O12" s="15" t="s">
        <v>19</v>
      </c>
      <c r="P12" s="13" t="s">
        <v>19</v>
      </c>
      <c r="Q12" s="14" t="s">
        <v>19</v>
      </c>
      <c r="R12" s="15" t="s">
        <v>19</v>
      </c>
      <c r="S12" s="13" t="s">
        <v>19</v>
      </c>
      <c r="T12" s="14" t="s">
        <v>19</v>
      </c>
      <c r="U12" s="16" t="s">
        <v>19</v>
      </c>
    </row>
    <row r="13" spans="2:21" x14ac:dyDescent="0.25">
      <c r="B13" s="11" t="s">
        <v>23</v>
      </c>
      <c r="C13" s="12" t="s">
        <v>15</v>
      </c>
      <c r="D13" s="13">
        <v>0.30840000000000001</v>
      </c>
      <c r="E13" s="14">
        <v>1.9397775797263199</v>
      </c>
      <c r="F13" s="15">
        <v>11.641783400826901</v>
      </c>
      <c r="G13" s="13">
        <v>0.33040000000000003</v>
      </c>
      <c r="H13" s="14">
        <v>2.0781534122619201</v>
      </c>
      <c r="I13" s="15">
        <v>12.4722608159313</v>
      </c>
      <c r="J13" s="13">
        <v>0.34889999999999999</v>
      </c>
      <c r="K13" s="14">
        <v>2.19451490780322</v>
      </c>
      <c r="L13" s="15">
        <v>13.170616824087199</v>
      </c>
      <c r="M13" s="13">
        <v>2.18E-2</v>
      </c>
      <c r="N13" s="14">
        <v>0.13711787042164</v>
      </c>
      <c r="O13" s="15">
        <v>0.82292762042161005</v>
      </c>
      <c r="P13" s="13">
        <v>4.3799999999999999E-2</v>
      </c>
      <c r="Q13" s="14">
        <v>0.27549370295724002</v>
      </c>
      <c r="R13" s="15">
        <v>1.6534050355259999</v>
      </c>
      <c r="S13" s="13">
        <v>6.2300000000000001E-2</v>
      </c>
      <c r="T13" s="14">
        <v>0.39185519849854</v>
      </c>
      <c r="U13" s="16">
        <v>2.3517610436819498</v>
      </c>
    </row>
    <row r="14" spans="2:21" x14ac:dyDescent="0.25">
      <c r="B14" s="11" t="s">
        <v>24</v>
      </c>
      <c r="C14" s="12" t="s">
        <v>15</v>
      </c>
      <c r="D14" s="13">
        <v>0.32086789839983998</v>
      </c>
      <c r="E14" s="14">
        <v>2.0181982988648</v>
      </c>
      <c r="F14" s="15">
        <v>11.523231199079101</v>
      </c>
      <c r="G14" s="13">
        <v>0.32404805422747002</v>
      </c>
      <c r="H14" s="14">
        <v>2.0382008766030699</v>
      </c>
      <c r="I14" s="15">
        <v>11.6374391676347</v>
      </c>
      <c r="J14" s="13">
        <v>0.32722821005510999</v>
      </c>
      <c r="K14" s="14">
        <v>2.0582034543413501</v>
      </c>
      <c r="L14" s="15">
        <v>11.7516471361903</v>
      </c>
      <c r="M14" s="13">
        <v>1.9080934965809999E-2</v>
      </c>
      <c r="N14" s="14">
        <v>0.12001546642964001</v>
      </c>
      <c r="O14" s="15">
        <v>0.68524781133348001</v>
      </c>
      <c r="P14" s="13">
        <v>2.2261090793450001E-2</v>
      </c>
      <c r="Q14" s="14">
        <v>0.14001804416791</v>
      </c>
      <c r="R14" s="15">
        <v>0.79945577988906003</v>
      </c>
      <c r="S14" s="13">
        <v>2.5441246621080001E-2</v>
      </c>
      <c r="T14" s="14">
        <v>0.16002062190619001</v>
      </c>
      <c r="U14" s="16">
        <v>0.91366374844464004</v>
      </c>
    </row>
    <row r="15" spans="2:21" x14ac:dyDescent="0.25">
      <c r="B15" s="11" t="s">
        <v>25</v>
      </c>
      <c r="C15" s="12" t="s">
        <v>13</v>
      </c>
      <c r="D15" s="13">
        <v>0.88959518364210999</v>
      </c>
      <c r="E15" s="14">
        <v>5.5953851889153503</v>
      </c>
      <c r="F15" s="15">
        <v>32.602453552576399</v>
      </c>
      <c r="G15" s="13">
        <v>1.02314452773995</v>
      </c>
      <c r="H15" s="14">
        <v>6.4353852650117602</v>
      </c>
      <c r="I15" s="15">
        <v>37.4968553748758</v>
      </c>
      <c r="J15" s="13">
        <v>1.2648052456312699</v>
      </c>
      <c r="K15" s="14">
        <v>7.9553854027100401</v>
      </c>
      <c r="L15" s="15">
        <v>46.353392005703199</v>
      </c>
      <c r="M15" s="13">
        <v>0.1383189635299</v>
      </c>
      <c r="N15" s="14">
        <v>0.87000007881414998</v>
      </c>
      <c r="O15" s="15">
        <v>5.0692018873814799</v>
      </c>
      <c r="P15" s="13">
        <v>0.27186830762773001</v>
      </c>
      <c r="Q15" s="14">
        <v>1.7100001549105599</v>
      </c>
      <c r="R15" s="15">
        <v>9.9636037096808305</v>
      </c>
      <c r="S15" s="13">
        <v>0.51352902551905</v>
      </c>
      <c r="T15" s="14">
        <v>3.2300002926088398</v>
      </c>
      <c r="U15" s="16">
        <v>18.8201403405082</v>
      </c>
    </row>
    <row r="16" spans="2:21" x14ac:dyDescent="0.25">
      <c r="B16" s="11" t="s">
        <v>26</v>
      </c>
      <c r="C16" s="12" t="s">
        <v>15</v>
      </c>
      <c r="D16" s="13">
        <v>1.8321330683624799</v>
      </c>
      <c r="E16" s="14">
        <v>11.523769938666399</v>
      </c>
      <c r="F16" s="15">
        <v>73.692645052806299</v>
      </c>
      <c r="G16" s="13">
        <v>1.9866640699523099</v>
      </c>
      <c r="H16" s="14">
        <v>12.495740665827901</v>
      </c>
      <c r="I16" s="15">
        <v>79.908240659075105</v>
      </c>
      <c r="J16" s="13">
        <v>2.19318235294118</v>
      </c>
      <c r="K16" s="14">
        <v>13.7947015450282</v>
      </c>
      <c r="L16" s="15">
        <v>88.214885404489905</v>
      </c>
      <c r="M16" s="13">
        <v>0.14149443561208</v>
      </c>
      <c r="N16" s="14">
        <v>0.88997319668076003</v>
      </c>
      <c r="O16" s="15">
        <v>5.6912346600609496</v>
      </c>
      <c r="P16" s="13">
        <v>0.29602543720190999</v>
      </c>
      <c r="Q16" s="14">
        <v>1.86194392384223</v>
      </c>
      <c r="R16" s="15">
        <v>11.9068302663298</v>
      </c>
      <c r="S16" s="13">
        <v>0.50254372019077997</v>
      </c>
      <c r="T16" s="14">
        <v>3.1609048030425799</v>
      </c>
      <c r="U16" s="16">
        <v>20.213475011744599</v>
      </c>
    </row>
    <row r="17" spans="2:21" x14ac:dyDescent="0.25">
      <c r="B17" s="11" t="s">
        <v>65</v>
      </c>
      <c r="C17" s="12" t="s">
        <v>22</v>
      </c>
      <c r="D17" s="13">
        <v>1.893637</v>
      </c>
      <c r="E17" s="14">
        <v>11.910618017964399</v>
      </c>
      <c r="F17" s="15">
        <v>57.910112924367802</v>
      </c>
      <c r="G17" s="13">
        <v>1.976337</v>
      </c>
      <c r="H17" s="14">
        <v>12.430785352086801</v>
      </c>
      <c r="I17" s="15">
        <v>60.439159340707199</v>
      </c>
      <c r="J17" s="13">
        <v>2.031237</v>
      </c>
      <c r="K17" s="14">
        <v>12.7760959523688</v>
      </c>
      <c r="L17" s="15">
        <v>62.118054724710099</v>
      </c>
      <c r="M17" s="13">
        <v>0.19400000000000001</v>
      </c>
      <c r="N17" s="14">
        <v>1.2202232505412001</v>
      </c>
      <c r="O17" s="15">
        <v>5.9327086429243696</v>
      </c>
      <c r="P17" s="13">
        <v>0.2767</v>
      </c>
      <c r="Q17" s="14">
        <v>1.74039058466366</v>
      </c>
      <c r="R17" s="15">
        <v>8.4617550592637691</v>
      </c>
      <c r="S17" s="13">
        <v>0.33160000000000001</v>
      </c>
      <c r="T17" s="14">
        <v>2.0857011849456799</v>
      </c>
      <c r="U17" s="16">
        <v>10.140650443266599</v>
      </c>
    </row>
    <row r="18" spans="2:21" x14ac:dyDescent="0.25">
      <c r="B18" s="11" t="s">
        <v>64</v>
      </c>
      <c r="C18" s="12" t="s">
        <v>15</v>
      </c>
      <c r="D18" s="13">
        <v>2.6164999999999998</v>
      </c>
      <c r="E18" s="14">
        <v>16.457289355881699</v>
      </c>
      <c r="F18" s="15">
        <v>78.671258256501403</v>
      </c>
      <c r="G18" s="13">
        <v>3.3715999999999999</v>
      </c>
      <c r="H18" s="14">
        <v>21.2067253171377</v>
      </c>
      <c r="I18" s="15">
        <v>101.375124914053</v>
      </c>
      <c r="J18" s="13">
        <v>4.1386000000000003</v>
      </c>
      <c r="K18" s="14">
        <v>26.0310100241743</v>
      </c>
      <c r="L18" s="15">
        <v>124.436793204799</v>
      </c>
      <c r="M18" s="13">
        <v>1.4961</v>
      </c>
      <c r="N18" s="14">
        <v>9.4101855934777792</v>
      </c>
      <c r="O18" s="15">
        <v>44.983783480814701</v>
      </c>
      <c r="P18" s="13">
        <v>2.2511999999999999</v>
      </c>
      <c r="Q18" s="14">
        <v>14.1596215547338</v>
      </c>
      <c r="R18" s="15">
        <v>67.687650138366493</v>
      </c>
      <c r="S18" s="13">
        <v>3.0182000000000002</v>
      </c>
      <c r="T18" s="14">
        <v>18.9839062617704</v>
      </c>
      <c r="U18" s="16">
        <v>90.749318429112293</v>
      </c>
    </row>
    <row r="19" spans="2:21" x14ac:dyDescent="0.25">
      <c r="B19" s="11" t="s">
        <v>27</v>
      </c>
      <c r="C19" s="12" t="s">
        <v>15</v>
      </c>
      <c r="D19" s="13">
        <v>3.0403060924219099</v>
      </c>
      <c r="E19" s="14">
        <v>19.122949395542602</v>
      </c>
      <c r="F19" s="15">
        <v>102.105087639244</v>
      </c>
      <c r="G19" s="13">
        <v>3.0652671404679501</v>
      </c>
      <c r="H19" s="14">
        <v>19.279949659375902</v>
      </c>
      <c r="I19" s="15">
        <v>102.943374943493</v>
      </c>
      <c r="J19" s="13">
        <v>3.1239335527545098</v>
      </c>
      <c r="K19" s="14">
        <v>19.648950279468199</v>
      </c>
      <c r="L19" s="15">
        <v>104.913617078957</v>
      </c>
      <c r="M19" s="13">
        <v>0.24740369407856</v>
      </c>
      <c r="N19" s="14">
        <v>1.5561223700228699</v>
      </c>
      <c r="O19" s="15">
        <v>8.3087607294305403</v>
      </c>
      <c r="P19" s="13">
        <v>0.27236474212459999</v>
      </c>
      <c r="Q19" s="14">
        <v>1.71312263385615</v>
      </c>
      <c r="R19" s="15">
        <v>9.1470480336796793</v>
      </c>
      <c r="S19" s="13">
        <v>0.33103115441115999</v>
      </c>
      <c r="T19" s="14">
        <v>2.0821232539483998</v>
      </c>
      <c r="U19" s="16">
        <v>11.1172901691442</v>
      </c>
    </row>
    <row r="20" spans="2:21" x14ac:dyDescent="0.25">
      <c r="B20" s="11" t="s">
        <v>28</v>
      </c>
      <c r="C20" s="12" t="s">
        <v>13</v>
      </c>
      <c r="D20" s="13">
        <v>3.9091558130340598</v>
      </c>
      <c r="E20" s="14">
        <v>24.587849551816699</v>
      </c>
      <c r="F20" s="15">
        <v>146.21179967399101</v>
      </c>
      <c r="G20" s="13">
        <v>3.9231166971173801</v>
      </c>
      <c r="H20" s="14">
        <v>24.6756608680878</v>
      </c>
      <c r="I20" s="15">
        <v>146.73397021016001</v>
      </c>
      <c r="J20" s="13">
        <v>3.9499572123026301</v>
      </c>
      <c r="K20" s="14">
        <v>24.8444826241988</v>
      </c>
      <c r="L20" s="15">
        <v>147.73786982867301</v>
      </c>
      <c r="M20" s="13">
        <v>8.3351884242330004E-2</v>
      </c>
      <c r="N20" s="14">
        <v>0.52426756252013995</v>
      </c>
      <c r="O20" s="15">
        <v>3.1175603082011798</v>
      </c>
      <c r="P20" s="13">
        <v>9.7312768325650001E-2</v>
      </c>
      <c r="Q20" s="14">
        <v>0.61207887879115996</v>
      </c>
      <c r="R20" s="15">
        <v>3.6397308443707002</v>
      </c>
      <c r="S20" s="13">
        <v>0.12415328351089</v>
      </c>
      <c r="T20" s="14">
        <v>0.78090063490218997</v>
      </c>
      <c r="U20" s="16">
        <v>4.6436304628834</v>
      </c>
    </row>
    <row r="21" spans="2:21" x14ac:dyDescent="0.25">
      <c r="B21" s="11" t="s">
        <v>29</v>
      </c>
      <c r="C21" s="12" t="s">
        <v>13</v>
      </c>
      <c r="D21" s="13">
        <v>7.5301271380016601</v>
      </c>
      <c r="E21" s="14">
        <v>47.363073264540702</v>
      </c>
      <c r="F21" s="15">
        <v>286.54117798116999</v>
      </c>
      <c r="G21" s="13">
        <v>7.5318657523910701</v>
      </c>
      <c r="H21" s="14">
        <v>47.374008819704002</v>
      </c>
      <c r="I21" s="15">
        <v>286.60733683958802</v>
      </c>
      <c r="J21" s="13">
        <v>7.5331744865230403</v>
      </c>
      <c r="K21" s="14">
        <v>47.382240509480297</v>
      </c>
      <c r="L21" s="15">
        <v>286.65713762156201</v>
      </c>
      <c r="M21" s="13">
        <v>1.9638121406299999E-3</v>
      </c>
      <c r="N21" s="14">
        <v>1.235200635922E-2</v>
      </c>
      <c r="O21" s="15">
        <v>7.4728226203410006E-2</v>
      </c>
      <c r="P21" s="13">
        <v>3.7024265300400002E-3</v>
      </c>
      <c r="Q21" s="14">
        <v>2.3287561522539999E-2</v>
      </c>
      <c r="R21" s="15">
        <v>0.14088708462196001</v>
      </c>
      <c r="S21" s="13">
        <v>5.0111606619999997E-3</v>
      </c>
      <c r="T21" s="14">
        <v>3.1519251298839999E-2</v>
      </c>
      <c r="U21" s="16">
        <v>0.19068786659617001</v>
      </c>
    </row>
    <row r="22" spans="2:21" x14ac:dyDescent="0.25">
      <c r="B22" s="11" t="s">
        <v>30</v>
      </c>
      <c r="C22" s="12" t="s">
        <v>13</v>
      </c>
      <c r="D22" s="13">
        <v>8.5180764899797996</v>
      </c>
      <c r="E22" s="14">
        <v>53.577087541039802</v>
      </c>
      <c r="F22" s="15">
        <v>329.404725128618</v>
      </c>
      <c r="G22" s="13">
        <v>9.0882398257094703</v>
      </c>
      <c r="H22" s="14">
        <v>57.163306916624798</v>
      </c>
      <c r="I22" s="15">
        <v>351.45365801920502</v>
      </c>
      <c r="J22" s="13">
        <v>9.7416025124097807</v>
      </c>
      <c r="K22" s="14">
        <v>61.272834449345297</v>
      </c>
      <c r="L22" s="15">
        <v>376.72001439379</v>
      </c>
      <c r="M22" s="13">
        <v>0.69644860697980004</v>
      </c>
      <c r="N22" s="14">
        <v>4.3805298095040097</v>
      </c>
      <c r="O22" s="15">
        <v>26.932543070992399</v>
      </c>
      <c r="P22" s="13">
        <v>1.26661194270947</v>
      </c>
      <c r="Q22" s="14">
        <v>7.9667491850889496</v>
      </c>
      <c r="R22" s="15">
        <v>48.9814759615792</v>
      </c>
      <c r="S22" s="13">
        <v>1.9199746294097799</v>
      </c>
      <c r="T22" s="14">
        <v>12.076276717809399</v>
      </c>
      <c r="U22" s="16">
        <v>74.247832336164805</v>
      </c>
    </row>
    <row r="23" spans="2:21" x14ac:dyDescent="0.25">
      <c r="B23" s="11" t="s">
        <v>31</v>
      </c>
      <c r="C23" s="12" t="s">
        <v>15</v>
      </c>
      <c r="D23" s="13">
        <v>8.8130000000000006</v>
      </c>
      <c r="E23" s="14">
        <v>55.432100551647402</v>
      </c>
      <c r="F23" s="15">
        <v>308.64212031982402</v>
      </c>
      <c r="G23" s="13">
        <v>9.0839999999999996</v>
      </c>
      <c r="H23" s="14">
        <v>57.136639216063202</v>
      </c>
      <c r="I23" s="15">
        <v>318.13287427496698</v>
      </c>
      <c r="J23" s="13">
        <v>9.4380000000000006</v>
      </c>
      <c r="K23" s="14">
        <v>59.363232157772401</v>
      </c>
      <c r="L23" s="15">
        <v>330.53039051157401</v>
      </c>
      <c r="M23" s="13">
        <v>0.26300000000000001</v>
      </c>
      <c r="N23" s="14">
        <v>1.6542201798574001</v>
      </c>
      <c r="O23" s="15">
        <v>9.2105840966882706</v>
      </c>
      <c r="P23" s="13">
        <v>0.53400000000000003</v>
      </c>
      <c r="Q23" s="14">
        <v>3.3587588442732002</v>
      </c>
      <c r="R23" s="15">
        <v>18.701338051830898</v>
      </c>
      <c r="S23" s="13">
        <v>0.88800000000000001</v>
      </c>
      <c r="T23" s="14">
        <v>5.5853517859824002</v>
      </c>
      <c r="U23" s="16">
        <v>31.098854288438002</v>
      </c>
    </row>
    <row r="24" spans="2:21" x14ac:dyDescent="0.25">
      <c r="B24" s="11" t="s">
        <v>32</v>
      </c>
      <c r="C24" s="12" t="s">
        <v>15</v>
      </c>
      <c r="D24" s="13">
        <v>11.001845443452</v>
      </c>
      <c r="E24" s="14">
        <v>69.1995237575305</v>
      </c>
      <c r="F24" s="15">
        <v>377.31672595048701</v>
      </c>
      <c r="G24" s="13">
        <v>11.1180299933912</v>
      </c>
      <c r="H24" s="14">
        <v>69.930302567785205</v>
      </c>
      <c r="I24" s="15">
        <v>381.30136418362599</v>
      </c>
      <c r="J24" s="13">
        <v>11.1917267780827</v>
      </c>
      <c r="K24" s="14">
        <v>70.393841383098007</v>
      </c>
      <c r="L24" s="15">
        <v>383.82885192700502</v>
      </c>
      <c r="M24" s="13">
        <v>0.18430723387341999</v>
      </c>
      <c r="N24" s="14">
        <v>1.1592575877076401</v>
      </c>
      <c r="O24" s="15">
        <v>6.3209579167010501</v>
      </c>
      <c r="P24" s="13">
        <v>0.30049178381255998</v>
      </c>
      <c r="Q24" s="14">
        <v>1.8900363979623001</v>
      </c>
      <c r="R24" s="15">
        <v>10.3055961498403</v>
      </c>
      <c r="S24" s="13">
        <v>0.37418856850405002</v>
      </c>
      <c r="T24" s="14">
        <v>2.3535752132751</v>
      </c>
      <c r="U24" s="16">
        <v>12.8330838932188</v>
      </c>
    </row>
    <row r="25" spans="2:21" x14ac:dyDescent="0.25">
      <c r="B25" s="17" t="s">
        <v>33</v>
      </c>
      <c r="C25" s="18" t="s">
        <v>22</v>
      </c>
      <c r="D25" s="19">
        <v>36.508461806900002</v>
      </c>
      <c r="E25" s="20">
        <v>229.63130896017901</v>
      </c>
      <c r="F25" s="21">
        <v>1319.0154472956999</v>
      </c>
      <c r="G25" s="19">
        <v>36.602461806900003</v>
      </c>
      <c r="H25" s="20">
        <v>230.22255115374</v>
      </c>
      <c r="I25" s="21">
        <v>1322.3834923500599</v>
      </c>
      <c r="J25" s="19">
        <v>36.823461806899999</v>
      </c>
      <c r="K25" s="20">
        <v>231.61259928966601</v>
      </c>
      <c r="L25" s="21">
        <v>1330.3019812544501</v>
      </c>
      <c r="M25" s="19">
        <v>0.10199999999999999</v>
      </c>
      <c r="N25" s="20">
        <v>0.64156067811960005</v>
      </c>
      <c r="O25" s="21">
        <v>3.6546871866398201</v>
      </c>
      <c r="P25" s="19">
        <v>0.19600000000000001</v>
      </c>
      <c r="Q25" s="20">
        <v>1.2328028716807999</v>
      </c>
      <c r="R25" s="21">
        <v>7.0227322409941699</v>
      </c>
      <c r="S25" s="19">
        <v>0.41699999999999998</v>
      </c>
      <c r="T25" s="20">
        <v>2.6228510076066001</v>
      </c>
      <c r="U25" s="22">
        <v>14.9412211453804</v>
      </c>
    </row>
    <row r="26" spans="2:21" x14ac:dyDescent="0.25">
      <c r="B26" s="323" t="s">
        <v>66</v>
      </c>
      <c r="C26" s="324"/>
      <c r="D26" s="7">
        <v>88.087155393835303</v>
      </c>
      <c r="E26" s="8">
        <v>554.05152105976003</v>
      </c>
      <c r="F26" s="9">
        <v>3168.6343536477498</v>
      </c>
      <c r="G26" s="7">
        <v>90.401232702426796</v>
      </c>
      <c r="H26" s="8">
        <v>568.60662897467296</v>
      </c>
      <c r="I26" s="9">
        <v>3248.80398104808</v>
      </c>
      <c r="J26" s="7">
        <v>93.161707793874697</v>
      </c>
      <c r="K26" s="8">
        <v>585.96949438253205</v>
      </c>
      <c r="L26" s="9">
        <v>3345.4980239268698</v>
      </c>
      <c r="M26" s="7">
        <v>3.6862180060312202</v>
      </c>
      <c r="N26" s="8">
        <v>23.1856129769223</v>
      </c>
      <c r="O26" s="9">
        <v>124.2928300966</v>
      </c>
      <c r="P26" s="7">
        <v>6.0002953146226998</v>
      </c>
      <c r="Q26" s="8">
        <v>37.740720891835302</v>
      </c>
      <c r="R26" s="9">
        <v>204.46245749692599</v>
      </c>
      <c r="S26" s="7">
        <v>8.7607704060706499</v>
      </c>
      <c r="T26" s="8">
        <v>55.1035862996942</v>
      </c>
      <c r="U26" s="10">
        <v>301.15650037571999</v>
      </c>
    </row>
    <row r="27" spans="2:21" ht="16.5" thickBot="1" x14ac:dyDescent="0.3">
      <c r="B27" s="325" t="s">
        <v>67</v>
      </c>
      <c r="C27" s="326"/>
      <c r="D27" s="25">
        <v>89.284403600735004</v>
      </c>
      <c r="E27" s="26">
        <v>561.58198548619202</v>
      </c>
      <c r="F27" s="27">
        <v>3210.72281892295</v>
      </c>
      <c r="G27" s="25">
        <v>90.364627762083799</v>
      </c>
      <c r="H27" s="26">
        <v>568.37639083399802</v>
      </c>
      <c r="I27" s="27">
        <v>3247.7373184501198</v>
      </c>
      <c r="J27" s="25">
        <v>91.569158519355994</v>
      </c>
      <c r="K27" s="26">
        <v>575.95266112273703</v>
      </c>
      <c r="L27" s="27">
        <v>3288.4134948099099</v>
      </c>
      <c r="M27" s="25">
        <v>4.93566146950121</v>
      </c>
      <c r="N27" s="26">
        <v>31.0443756798233</v>
      </c>
      <c r="O27" s="27">
        <v>168.23844816769</v>
      </c>
      <c r="P27" s="25">
        <v>5.9069922004098903</v>
      </c>
      <c r="Q27" s="26">
        <v>37.153861977864302</v>
      </c>
      <c r="R27" s="27">
        <v>201.33187311882901</v>
      </c>
      <c r="S27" s="25">
        <v>7.1818121581442096</v>
      </c>
      <c r="T27" s="26">
        <v>45.172238022613598</v>
      </c>
      <c r="U27" s="28">
        <v>244.58890359891001</v>
      </c>
    </row>
    <row r="29" spans="2:21" x14ac:dyDescent="0.25">
      <c r="B29" s="318" t="s">
        <v>34</v>
      </c>
      <c r="C29" s="318"/>
      <c r="D29" s="318"/>
      <c r="E29" s="318"/>
      <c r="F29" s="318"/>
      <c r="G29" s="318"/>
      <c r="H29" s="318"/>
      <c r="I29" s="318"/>
      <c r="J29" s="318"/>
      <c r="K29" s="318"/>
      <c r="L29" s="318"/>
      <c r="M29" s="318"/>
      <c r="N29" s="318"/>
      <c r="O29" s="318"/>
      <c r="P29" s="318"/>
      <c r="Q29" s="318"/>
      <c r="R29" s="318"/>
      <c r="S29" s="318"/>
      <c r="T29" s="318"/>
      <c r="U29" s="318"/>
    </row>
    <row r="30" spans="2:21" x14ac:dyDescent="0.25">
      <c r="B30" s="318"/>
      <c r="C30" s="318"/>
      <c r="D30" s="318"/>
      <c r="E30" s="318"/>
      <c r="F30" s="318"/>
      <c r="G30" s="318"/>
      <c r="H30" s="318"/>
      <c r="I30" s="318"/>
      <c r="J30" s="318"/>
      <c r="K30" s="318"/>
      <c r="L30" s="318"/>
      <c r="M30" s="318"/>
      <c r="N30" s="318"/>
      <c r="O30" s="318"/>
      <c r="P30" s="318"/>
      <c r="Q30" s="318"/>
      <c r="R30" s="318"/>
      <c r="S30" s="318"/>
      <c r="T30" s="318"/>
      <c r="U30" s="318"/>
    </row>
    <row r="31" spans="2:21" x14ac:dyDescent="0.25">
      <c r="B31" s="318"/>
      <c r="C31" s="318"/>
      <c r="D31" s="318"/>
      <c r="E31" s="318"/>
      <c r="F31" s="318"/>
      <c r="G31" s="318"/>
      <c r="H31" s="318"/>
      <c r="I31" s="318"/>
      <c r="J31" s="318"/>
      <c r="K31" s="318"/>
      <c r="L31" s="318"/>
      <c r="M31" s="318"/>
      <c r="N31" s="318"/>
      <c r="O31" s="318"/>
      <c r="P31" s="318"/>
      <c r="Q31" s="318"/>
      <c r="R31" s="318"/>
      <c r="S31" s="318"/>
      <c r="T31" s="318"/>
      <c r="U31" s="318"/>
    </row>
    <row r="32" spans="2:21" x14ac:dyDescent="0.25">
      <c r="B32" s="318"/>
      <c r="C32" s="318"/>
      <c r="D32" s="318"/>
      <c r="E32" s="318"/>
      <c r="F32" s="318"/>
      <c r="G32" s="318"/>
      <c r="H32" s="318"/>
      <c r="I32" s="318"/>
      <c r="J32" s="318"/>
      <c r="K32" s="318"/>
      <c r="L32" s="318"/>
      <c r="M32" s="318"/>
      <c r="N32" s="318"/>
      <c r="O32" s="318"/>
      <c r="P32" s="318"/>
      <c r="Q32" s="318"/>
      <c r="R32" s="318"/>
      <c r="S32" s="318"/>
      <c r="T32" s="318"/>
      <c r="U32" s="318"/>
    </row>
    <row r="33" spans="2:21" x14ac:dyDescent="0.25">
      <c r="B33" s="327"/>
      <c r="C33" s="327"/>
      <c r="D33" s="327"/>
      <c r="E33" s="327"/>
      <c r="F33" s="327"/>
      <c r="G33" s="327"/>
      <c r="H33" s="327"/>
      <c r="I33" s="327"/>
      <c r="J33" s="327"/>
      <c r="K33" s="327"/>
      <c r="L33" s="327"/>
      <c r="M33" s="327"/>
      <c r="N33" s="327"/>
      <c r="O33" s="327"/>
      <c r="P33" s="327"/>
      <c r="Q33" s="327"/>
      <c r="R33" s="327"/>
      <c r="S33" s="327"/>
      <c r="T33" s="327"/>
      <c r="U33" s="327"/>
    </row>
    <row r="34" spans="2:21" x14ac:dyDescent="0.25">
      <c r="B34" s="318"/>
      <c r="C34" s="318"/>
      <c r="D34" s="318"/>
      <c r="E34" s="318"/>
      <c r="F34" s="318"/>
      <c r="G34" s="318"/>
      <c r="H34" s="318"/>
      <c r="I34" s="318"/>
      <c r="J34" s="318"/>
      <c r="K34" s="318"/>
      <c r="L34" s="318"/>
      <c r="M34" s="318"/>
      <c r="N34" s="318"/>
      <c r="O34" s="318"/>
      <c r="P34" s="318"/>
      <c r="Q34" s="318"/>
      <c r="R34" s="318"/>
      <c r="S34" s="318"/>
      <c r="T34" s="318"/>
      <c r="U34" s="318"/>
    </row>
    <row r="35" spans="2:21" x14ac:dyDescent="0.25">
      <c r="B35" s="317"/>
      <c r="C35" s="318"/>
      <c r="D35" s="318"/>
      <c r="E35" s="318"/>
      <c r="F35" s="318"/>
      <c r="G35" s="318"/>
      <c r="H35" s="318"/>
      <c r="I35" s="318"/>
      <c r="J35" s="318"/>
      <c r="K35" s="318"/>
      <c r="L35" s="318"/>
      <c r="M35" s="318"/>
      <c r="N35" s="318"/>
      <c r="O35" s="318"/>
      <c r="P35" s="318"/>
      <c r="Q35" s="318"/>
      <c r="R35" s="318"/>
      <c r="S35" s="318"/>
      <c r="T35" s="318"/>
      <c r="U35" s="318"/>
    </row>
    <row r="36" spans="2:21" x14ac:dyDescent="0.25">
      <c r="B36" s="317"/>
      <c r="C36" s="318"/>
      <c r="D36" s="318"/>
      <c r="E36" s="318"/>
      <c r="F36" s="318"/>
      <c r="G36" s="318"/>
      <c r="H36" s="318"/>
      <c r="I36" s="318"/>
      <c r="J36" s="318"/>
      <c r="K36" s="318"/>
      <c r="L36" s="318"/>
      <c r="M36" s="318"/>
      <c r="N36" s="318"/>
      <c r="O36" s="318"/>
      <c r="P36" s="318"/>
      <c r="Q36" s="318"/>
      <c r="R36" s="318"/>
      <c r="S36" s="318"/>
      <c r="T36" s="318"/>
      <c r="U36" s="318"/>
    </row>
  </sheetData>
  <mergeCells count="19">
    <mergeCell ref="B2:U2"/>
    <mergeCell ref="B29:U29"/>
    <mergeCell ref="B30:U30"/>
    <mergeCell ref="D4:F4"/>
    <mergeCell ref="G4:I4"/>
    <mergeCell ref="J4:L4"/>
    <mergeCell ref="M4:O4"/>
    <mergeCell ref="B36:U36"/>
    <mergeCell ref="B4:B5"/>
    <mergeCell ref="C4:C5"/>
    <mergeCell ref="B26:C26"/>
    <mergeCell ref="B27:C27"/>
    <mergeCell ref="B31:U31"/>
    <mergeCell ref="B32:U32"/>
    <mergeCell ref="B33:U33"/>
    <mergeCell ref="B34:U34"/>
    <mergeCell ref="B35:U35"/>
    <mergeCell ref="P4:R4"/>
    <mergeCell ref="S4:U4"/>
  </mergeCells>
  <printOptions gridLines="1"/>
  <pageMargins left="0.05" right="0.05" top="0.5" bottom="0.5" header="0" footer="0"/>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072"/>
    <pageSetUpPr fitToPage="1"/>
  </sheetPr>
  <dimension ref="A1:T29"/>
  <sheetViews>
    <sheetView zoomScale="85" zoomScaleNormal="85" zoomScalePageLayoutView="85" workbookViewId="0"/>
  </sheetViews>
  <sheetFormatPr defaultColWidth="11.42578125" defaultRowHeight="15" x14ac:dyDescent="0.25"/>
  <cols>
    <col min="1" max="1" width="11.42578125" style="4"/>
    <col min="2" max="2" width="46.5703125" customWidth="1"/>
    <col min="3" max="4" width="12.7109375" customWidth="1"/>
    <col min="5" max="5" width="10.7109375" customWidth="1"/>
    <col min="6" max="7" width="12.7109375" customWidth="1"/>
    <col min="8" max="8" width="10.7109375" customWidth="1"/>
    <col min="9" max="10" width="12.7109375" customWidth="1"/>
    <col min="11" max="11" width="10.7109375" customWidth="1"/>
    <col min="12" max="13" width="12.7109375" customWidth="1"/>
    <col min="14" max="14" width="8.7109375" customWidth="1"/>
    <col min="15" max="16" width="12.7109375" customWidth="1"/>
    <col min="17" max="17" width="8.7109375" customWidth="1"/>
    <col min="18" max="19" width="12.7109375" customWidth="1"/>
    <col min="20" max="20" width="10.7109375" customWidth="1"/>
  </cols>
  <sheetData>
    <row r="1" spans="2:20" ht="15" customHeight="1" x14ac:dyDescent="0.25"/>
    <row r="2" spans="2:20" ht="21" customHeight="1" x14ac:dyDescent="0.35">
      <c r="B2" s="330" t="s">
        <v>68</v>
      </c>
      <c r="C2" s="331"/>
      <c r="D2" s="331"/>
      <c r="E2" s="331"/>
      <c r="F2" s="331"/>
      <c r="G2" s="331"/>
      <c r="H2" s="331"/>
      <c r="I2" s="331"/>
      <c r="J2" s="331"/>
      <c r="K2" s="331"/>
      <c r="L2" s="331"/>
      <c r="M2" s="331"/>
      <c r="N2" s="331"/>
      <c r="O2" s="331"/>
      <c r="P2" s="331"/>
      <c r="Q2" s="331"/>
      <c r="R2" s="331"/>
      <c r="S2" s="331"/>
      <c r="T2" s="331"/>
    </row>
    <row r="3" spans="2:20" ht="15" customHeight="1" thickBot="1" x14ac:dyDescent="0.3"/>
    <row r="4" spans="2:20" ht="33.75" customHeight="1" x14ac:dyDescent="0.25">
      <c r="B4" s="319" t="s">
        <v>7</v>
      </c>
      <c r="C4" s="328" t="s">
        <v>1</v>
      </c>
      <c r="D4" s="328"/>
      <c r="E4" s="328"/>
      <c r="F4" s="328" t="s">
        <v>2</v>
      </c>
      <c r="G4" s="328"/>
      <c r="H4" s="328"/>
      <c r="I4" s="328" t="s">
        <v>3</v>
      </c>
      <c r="J4" s="328"/>
      <c r="K4" s="328"/>
      <c r="L4" s="328" t="s">
        <v>4</v>
      </c>
      <c r="M4" s="328"/>
      <c r="N4" s="328"/>
      <c r="O4" s="328" t="s">
        <v>5</v>
      </c>
      <c r="P4" s="328"/>
      <c r="Q4" s="328"/>
      <c r="R4" s="328" t="s">
        <v>6</v>
      </c>
      <c r="S4" s="328"/>
      <c r="T4" s="329"/>
    </row>
    <row r="5" spans="2:20" x14ac:dyDescent="0.25">
      <c r="B5" s="320"/>
      <c r="C5" s="29" t="s">
        <v>9</v>
      </c>
      <c r="D5" s="30" t="s">
        <v>35</v>
      </c>
      <c r="E5" s="31" t="s">
        <v>11</v>
      </c>
      <c r="F5" s="29" t="s">
        <v>9</v>
      </c>
      <c r="G5" s="30" t="s">
        <v>35</v>
      </c>
      <c r="H5" s="31" t="s">
        <v>11</v>
      </c>
      <c r="I5" s="29" t="s">
        <v>9</v>
      </c>
      <c r="J5" s="30" t="s">
        <v>35</v>
      </c>
      <c r="K5" s="31" t="s">
        <v>11</v>
      </c>
      <c r="L5" s="29" t="s">
        <v>9</v>
      </c>
      <c r="M5" s="30" t="s">
        <v>35</v>
      </c>
      <c r="N5" s="31" t="s">
        <v>11</v>
      </c>
      <c r="O5" s="29" t="s">
        <v>9</v>
      </c>
      <c r="P5" s="30" t="s">
        <v>35</v>
      </c>
      <c r="Q5" s="31" t="s">
        <v>11</v>
      </c>
      <c r="R5" s="29" t="s">
        <v>9</v>
      </c>
      <c r="S5" s="30" t="s">
        <v>35</v>
      </c>
      <c r="T5" s="32" t="s">
        <v>11</v>
      </c>
    </row>
    <row r="6" spans="2:20" x14ac:dyDescent="0.25">
      <c r="B6" s="33" t="s">
        <v>36</v>
      </c>
      <c r="C6" s="34">
        <v>2.88</v>
      </c>
      <c r="D6" s="8">
        <v>0.101706240096</v>
      </c>
      <c r="E6" s="35">
        <v>0.10113696</v>
      </c>
      <c r="F6" s="34">
        <v>5.08</v>
      </c>
      <c r="G6" s="8">
        <v>0.179398506836</v>
      </c>
      <c r="H6" s="35">
        <v>0.17839436</v>
      </c>
      <c r="I6" s="34">
        <v>8.7799999999999994</v>
      </c>
      <c r="J6" s="8">
        <v>0.31006277362599999</v>
      </c>
      <c r="K6" s="35">
        <v>0.30832725999999999</v>
      </c>
      <c r="L6" s="34">
        <v>1.9866379999999999</v>
      </c>
      <c r="M6" s="8">
        <v>7.0157458823549998E-2</v>
      </c>
      <c r="N6" s="35">
        <v>6.9764766645999995E-2</v>
      </c>
      <c r="O6" s="34">
        <v>4.1866380000000003</v>
      </c>
      <c r="P6" s="8">
        <v>0.14784972556355</v>
      </c>
      <c r="Q6" s="35">
        <v>0.14702216664600001</v>
      </c>
      <c r="R6" s="34">
        <v>7.8866379999999996</v>
      </c>
      <c r="S6" s="8">
        <v>0.27851399235355001</v>
      </c>
      <c r="T6" s="10">
        <v>0.276955066646</v>
      </c>
    </row>
    <row r="7" spans="2:20" x14ac:dyDescent="0.25">
      <c r="B7" s="36" t="s">
        <v>12</v>
      </c>
      <c r="C7" s="37">
        <v>8.7157999999999998</v>
      </c>
      <c r="D7" s="14">
        <v>0.30779557202385999</v>
      </c>
      <c r="E7" s="38">
        <v>0.33642988000000001</v>
      </c>
      <c r="F7" s="37">
        <v>8.9558</v>
      </c>
      <c r="G7" s="14">
        <v>0.31627109203185999</v>
      </c>
      <c r="H7" s="38">
        <v>0.34569388000000001</v>
      </c>
      <c r="I7" s="37">
        <v>9.2357999999999993</v>
      </c>
      <c r="J7" s="14">
        <v>0.32615919870785998</v>
      </c>
      <c r="K7" s="38">
        <v>0.35650187999999999</v>
      </c>
      <c r="L7" s="37">
        <v>0.24</v>
      </c>
      <c r="M7" s="14">
        <v>8.4755200080000002E-3</v>
      </c>
      <c r="N7" s="38">
        <v>9.2639999999999997E-3</v>
      </c>
      <c r="O7" s="37">
        <v>0.48</v>
      </c>
      <c r="P7" s="14">
        <v>1.6951040016E-2</v>
      </c>
      <c r="Q7" s="38">
        <v>1.8527999999999999E-2</v>
      </c>
      <c r="R7" s="37">
        <v>0.76</v>
      </c>
      <c r="S7" s="14">
        <v>2.6839146692E-2</v>
      </c>
      <c r="T7" s="16">
        <v>2.9336000000000001E-2</v>
      </c>
    </row>
    <row r="8" spans="2:20" x14ac:dyDescent="0.25">
      <c r="B8" s="36" t="s">
        <v>37</v>
      </c>
      <c r="C8" s="37">
        <v>24.81</v>
      </c>
      <c r="D8" s="14">
        <v>0.87615688082700005</v>
      </c>
      <c r="E8" s="38">
        <v>0.93186360000000001</v>
      </c>
      <c r="F8" s="37">
        <v>24.81</v>
      </c>
      <c r="G8" s="14">
        <v>0.87615688082700005</v>
      </c>
      <c r="H8" s="38">
        <v>0.93186360000000001</v>
      </c>
      <c r="I8" s="37">
        <v>24.81</v>
      </c>
      <c r="J8" s="14">
        <v>0.87615688082700005</v>
      </c>
      <c r="K8" s="38">
        <v>0.93186360000000001</v>
      </c>
      <c r="L8" s="37" t="s">
        <v>19</v>
      </c>
      <c r="M8" s="14" t="s">
        <v>19</v>
      </c>
      <c r="N8" s="38" t="s">
        <v>19</v>
      </c>
      <c r="O8" s="37" t="s">
        <v>19</v>
      </c>
      <c r="P8" s="14" t="s">
        <v>19</v>
      </c>
      <c r="Q8" s="38" t="s">
        <v>19</v>
      </c>
      <c r="R8" s="37" t="s">
        <v>19</v>
      </c>
      <c r="S8" s="14" t="s">
        <v>19</v>
      </c>
      <c r="T8" s="16" t="s">
        <v>19</v>
      </c>
    </row>
    <row r="9" spans="2:20" x14ac:dyDescent="0.25">
      <c r="B9" s="36" t="s">
        <v>17</v>
      </c>
      <c r="C9" s="37">
        <v>30.063469856548</v>
      </c>
      <c r="D9" s="14">
        <v>1.06168141782949</v>
      </c>
      <c r="E9" s="38">
        <v>2.0852022692501699</v>
      </c>
      <c r="F9" s="37">
        <v>30.726761374158599</v>
      </c>
      <c r="G9" s="14">
        <v>1.0851053366988499</v>
      </c>
      <c r="H9" s="38">
        <v>2.1312081689116402</v>
      </c>
      <c r="I9" s="37">
        <v>31.7121867069521</v>
      </c>
      <c r="J9" s="14">
        <v>1.11990530388418</v>
      </c>
      <c r="K9" s="38">
        <v>2.1995572699941999</v>
      </c>
      <c r="L9" s="37">
        <v>1.7464698565479999</v>
      </c>
      <c r="M9" s="14">
        <v>6.1676000885589999E-2</v>
      </c>
      <c r="N9" s="38">
        <v>0.12113514925016999</v>
      </c>
      <c r="O9" s="37">
        <v>2.4097613741586401</v>
      </c>
      <c r="P9" s="14">
        <v>8.5099919754950001E-2</v>
      </c>
      <c r="Q9" s="38">
        <v>0.16714104891164</v>
      </c>
      <c r="R9" s="37">
        <v>3.3951867069520598</v>
      </c>
      <c r="S9" s="14">
        <v>0.11989988694028</v>
      </c>
      <c r="T9" s="16">
        <v>0.23549014999420001</v>
      </c>
    </row>
    <row r="10" spans="2:20" x14ac:dyDescent="0.25">
      <c r="B10" s="36" t="s">
        <v>20</v>
      </c>
      <c r="C10" s="37">
        <v>78.171151366557197</v>
      </c>
      <c r="D10" s="14">
        <v>2.7605881560652201</v>
      </c>
      <c r="E10" s="38">
        <v>4.7207558310263904</v>
      </c>
      <c r="F10" s="37">
        <v>79.143633042684499</v>
      </c>
      <c r="G10" s="14">
        <v>2.7949310223295099</v>
      </c>
      <c r="H10" s="38">
        <v>4.7794839994477103</v>
      </c>
      <c r="I10" s="37">
        <v>80.606754600038499</v>
      </c>
      <c r="J10" s="14">
        <v>2.8466006724690498</v>
      </c>
      <c r="K10" s="38">
        <v>4.8678419102963204</v>
      </c>
      <c r="L10" s="37">
        <v>6.6165381937951597</v>
      </c>
      <c r="M10" s="14">
        <v>0.23366084102170001</v>
      </c>
      <c r="N10" s="38">
        <v>0.39957274152328998</v>
      </c>
      <c r="O10" s="37">
        <v>7.5890198699224296</v>
      </c>
      <c r="P10" s="14">
        <v>0.26800370728598999</v>
      </c>
      <c r="Q10" s="38">
        <v>0.45830090994462003</v>
      </c>
      <c r="R10" s="37">
        <v>9.0521414272764495</v>
      </c>
      <c r="S10" s="14">
        <v>0.31967335742552999</v>
      </c>
      <c r="T10" s="16">
        <v>0.54665882079322003</v>
      </c>
    </row>
    <row r="11" spans="2:20" x14ac:dyDescent="0.25">
      <c r="B11" s="36" t="s">
        <v>18</v>
      </c>
      <c r="C11" s="37">
        <v>82.448693726760297</v>
      </c>
      <c r="D11" s="14">
        <v>2.9116481388109201</v>
      </c>
      <c r="E11" s="38">
        <v>3.3968861815425302</v>
      </c>
      <c r="F11" s="37">
        <v>82.448693726760297</v>
      </c>
      <c r="G11" s="14">
        <v>2.9116481388109201</v>
      </c>
      <c r="H11" s="38">
        <v>3.3968861815425302</v>
      </c>
      <c r="I11" s="37">
        <v>82.448693726760297</v>
      </c>
      <c r="J11" s="14">
        <v>2.9116481388109201</v>
      </c>
      <c r="K11" s="38">
        <v>3.3968861815425302</v>
      </c>
      <c r="L11" s="37" t="s">
        <v>19</v>
      </c>
      <c r="M11" s="14" t="s">
        <v>19</v>
      </c>
      <c r="N11" s="38" t="s">
        <v>19</v>
      </c>
      <c r="O11" s="37" t="s">
        <v>19</v>
      </c>
      <c r="P11" s="14" t="s">
        <v>19</v>
      </c>
      <c r="Q11" s="38" t="s">
        <v>19</v>
      </c>
      <c r="R11" s="37" t="s">
        <v>19</v>
      </c>
      <c r="S11" s="14" t="s">
        <v>19</v>
      </c>
      <c r="T11" s="16" t="s">
        <v>19</v>
      </c>
    </row>
    <row r="12" spans="2:20" x14ac:dyDescent="0.25">
      <c r="B12" s="36" t="s">
        <v>16</v>
      </c>
      <c r="C12" s="37">
        <v>153.14772979995701</v>
      </c>
      <c r="D12" s="14">
        <v>5.4083610337471404</v>
      </c>
      <c r="E12" s="38">
        <v>5.9007820291923503</v>
      </c>
      <c r="F12" s="37">
        <v>158.18153182565399</v>
      </c>
      <c r="G12" s="14">
        <v>5.5861280745184096</v>
      </c>
      <c r="H12" s="38">
        <v>6.0947344212424497</v>
      </c>
      <c r="I12" s="37">
        <v>163.528220917076</v>
      </c>
      <c r="J12" s="14">
        <v>5.7749446177304904</v>
      </c>
      <c r="K12" s="38">
        <v>6.3007423519349199</v>
      </c>
      <c r="L12" s="37">
        <v>17.380496696769399</v>
      </c>
      <c r="M12" s="14">
        <v>0.61378644792685999</v>
      </c>
      <c r="N12" s="38">
        <v>0.66967053772652996</v>
      </c>
      <c r="O12" s="37">
        <v>22.414298722466398</v>
      </c>
      <c r="P12" s="14">
        <v>0.79155348869814002</v>
      </c>
      <c r="Q12" s="38">
        <v>0.86362292977663002</v>
      </c>
      <c r="R12" s="37">
        <v>27.760987813887901</v>
      </c>
      <c r="S12" s="14">
        <v>0.98037003191020999</v>
      </c>
      <c r="T12" s="16">
        <v>1.0696308604691001</v>
      </c>
    </row>
    <row r="13" spans="2:20" x14ac:dyDescent="0.25">
      <c r="B13" s="36" t="s">
        <v>14</v>
      </c>
      <c r="C13" s="37">
        <v>162.476</v>
      </c>
      <c r="D13" s="14">
        <v>5.7377857867491997</v>
      </c>
      <c r="E13" s="38">
        <v>5.8491359999999997</v>
      </c>
      <c r="F13" s="37">
        <v>238.15600000000001</v>
      </c>
      <c r="G13" s="14">
        <v>8.4103997626052003</v>
      </c>
      <c r="H13" s="38">
        <v>8.5736159999999995</v>
      </c>
      <c r="I13" s="37">
        <v>338.06599999999997</v>
      </c>
      <c r="J13" s="14">
        <v>11.9386881126022</v>
      </c>
      <c r="K13" s="38">
        <v>12.170375999999999</v>
      </c>
      <c r="L13" s="37">
        <v>102.84</v>
      </c>
      <c r="M13" s="14">
        <v>3.6317603234279998</v>
      </c>
      <c r="N13" s="38">
        <v>3.7022400000000002</v>
      </c>
      <c r="O13" s="37">
        <v>178.52</v>
      </c>
      <c r="P13" s="14">
        <v>6.3043742992840004</v>
      </c>
      <c r="Q13" s="38">
        <v>6.4267200000000004</v>
      </c>
      <c r="R13" s="37">
        <v>278.43</v>
      </c>
      <c r="S13" s="14">
        <v>9.8326626492809996</v>
      </c>
      <c r="T13" s="16">
        <v>10.023479999999999</v>
      </c>
    </row>
    <row r="14" spans="2:20" x14ac:dyDescent="0.25">
      <c r="B14" s="36" t="s">
        <v>25</v>
      </c>
      <c r="C14" s="37">
        <v>170.03616299519601</v>
      </c>
      <c r="D14" s="14">
        <v>6.0047704231222099</v>
      </c>
      <c r="E14" s="38">
        <v>7.0616018491904802</v>
      </c>
      <c r="F14" s="37">
        <v>184.91757533562901</v>
      </c>
      <c r="G14" s="14">
        <v>6.5303025399498704</v>
      </c>
      <c r="H14" s="38">
        <v>7.6796269036886704</v>
      </c>
      <c r="I14" s="37">
        <v>203.26566929528201</v>
      </c>
      <c r="J14" s="14">
        <v>7.1782593627153002</v>
      </c>
      <c r="K14" s="38">
        <v>8.4416232458330605</v>
      </c>
      <c r="L14" s="37">
        <v>30.3972253877265</v>
      </c>
      <c r="M14" s="14">
        <v>1.0734678831723401</v>
      </c>
      <c r="N14" s="38">
        <v>1.26239677035228</v>
      </c>
      <c r="O14" s="37">
        <v>45.278637728159602</v>
      </c>
      <c r="P14" s="14">
        <v>1.599</v>
      </c>
      <c r="Q14" s="38">
        <v>1.88042182485047</v>
      </c>
      <c r="R14" s="37">
        <v>63.626731687812601</v>
      </c>
      <c r="S14" s="14">
        <v>2.24695682276543</v>
      </c>
      <c r="T14" s="16">
        <v>2.6424181669948599</v>
      </c>
    </row>
    <row r="15" spans="2:20" x14ac:dyDescent="0.25">
      <c r="B15" s="36" t="s">
        <v>21</v>
      </c>
      <c r="C15" s="37">
        <v>695.12068075152001</v>
      </c>
      <c r="D15" s="14">
        <v>24.547955157017</v>
      </c>
      <c r="E15" s="38">
        <v>28.6389720469626</v>
      </c>
      <c r="F15" s="37">
        <v>695.12068075152001</v>
      </c>
      <c r="G15" s="14">
        <v>24.547955157017</v>
      </c>
      <c r="H15" s="38">
        <v>28.6389720469626</v>
      </c>
      <c r="I15" s="37">
        <v>695.12068075152001</v>
      </c>
      <c r="J15" s="14">
        <v>24.547955157017</v>
      </c>
      <c r="K15" s="38">
        <v>28.6389720469626</v>
      </c>
      <c r="L15" s="37" t="s">
        <v>19</v>
      </c>
      <c r="M15" s="14" t="s">
        <v>19</v>
      </c>
      <c r="N15" s="38" t="s">
        <v>19</v>
      </c>
      <c r="O15" s="37" t="s">
        <v>19</v>
      </c>
      <c r="P15" s="14" t="s">
        <v>19</v>
      </c>
      <c r="Q15" s="38" t="s">
        <v>19</v>
      </c>
      <c r="R15" s="37" t="s">
        <v>19</v>
      </c>
      <c r="S15" s="14" t="s">
        <v>19</v>
      </c>
      <c r="T15" s="16" t="s">
        <v>19</v>
      </c>
    </row>
    <row r="16" spans="2:20" x14ac:dyDescent="0.25">
      <c r="B16" s="36" t="s">
        <v>28</v>
      </c>
      <c r="C16" s="37">
        <v>886.89939151170404</v>
      </c>
      <c r="D16" s="14">
        <v>31.320556407668601</v>
      </c>
      <c r="E16" s="38">
        <v>32.629028613715597</v>
      </c>
      <c r="F16" s="37">
        <v>893.06113152365401</v>
      </c>
      <c r="G16" s="14">
        <v>31.5381562024827</v>
      </c>
      <c r="H16" s="38">
        <v>32.855719028755203</v>
      </c>
      <c r="I16" s="37">
        <v>909.27534260289303</v>
      </c>
      <c r="J16" s="14">
        <v>32.110755662549501</v>
      </c>
      <c r="K16" s="38">
        <v>33.4522398543604</v>
      </c>
      <c r="L16" s="37">
        <v>48.552019414011703</v>
      </c>
      <c r="M16" s="14">
        <v>1.71459838321775</v>
      </c>
      <c r="N16" s="38">
        <v>1.7862287942414901</v>
      </c>
      <c r="O16" s="37">
        <v>54.713759425961399</v>
      </c>
      <c r="P16" s="14">
        <v>1.93219817803181</v>
      </c>
      <c r="Q16" s="38">
        <v>2.0129192092811201</v>
      </c>
      <c r="R16" s="37">
        <v>70.927970505200406</v>
      </c>
      <c r="S16" s="14">
        <v>2.5047976380985801</v>
      </c>
      <c r="T16" s="16">
        <v>2.6094400348863198</v>
      </c>
    </row>
    <row r="17" spans="2:20" x14ac:dyDescent="0.25">
      <c r="B17" s="36" t="s">
        <v>30</v>
      </c>
      <c r="C17" s="37">
        <v>1463.04485393549</v>
      </c>
      <c r="D17" s="14">
        <v>51.666941383882097</v>
      </c>
      <c r="E17" s="38">
        <v>60.716361438322998</v>
      </c>
      <c r="F17" s="37">
        <v>1484.7186313084401</v>
      </c>
      <c r="G17" s="14">
        <v>52.432343607937803</v>
      </c>
      <c r="H17" s="38">
        <v>61.615823199300301</v>
      </c>
      <c r="I17" s="37">
        <v>1567.8177594922199</v>
      </c>
      <c r="J17" s="14">
        <v>55.366961622808603</v>
      </c>
      <c r="K17" s="38">
        <v>65.064437018927194</v>
      </c>
      <c r="L17" s="37">
        <v>48.412305935492803</v>
      </c>
      <c r="M17" s="14">
        <v>1.70966444829036</v>
      </c>
      <c r="N17" s="38">
        <v>2.0091106963229501</v>
      </c>
      <c r="O17" s="37">
        <v>70.086083308439797</v>
      </c>
      <c r="P17" s="14">
        <v>2.4750666723459802</v>
      </c>
      <c r="Q17" s="38">
        <v>2.90857245730025</v>
      </c>
      <c r="R17" s="37">
        <v>153.18521149222201</v>
      </c>
      <c r="S17" s="14">
        <v>5.4096846872168198</v>
      </c>
      <c r="T17" s="16">
        <v>6.3571862769271998</v>
      </c>
    </row>
    <row r="18" spans="2:20" x14ac:dyDescent="0.25">
      <c r="B18" s="36" t="s">
        <v>23</v>
      </c>
      <c r="C18" s="37">
        <v>1537.81</v>
      </c>
      <c r="D18" s="14">
        <v>54.307247597927002</v>
      </c>
      <c r="E18" s="38">
        <v>60.128371000000001</v>
      </c>
      <c r="F18" s="37">
        <v>1669.06</v>
      </c>
      <c r="G18" s="14">
        <v>58.942297602301998</v>
      </c>
      <c r="H18" s="38">
        <v>65.260245999999995</v>
      </c>
      <c r="I18" s="37">
        <v>1780.72</v>
      </c>
      <c r="J18" s="14">
        <v>62.885533286024</v>
      </c>
      <c r="K18" s="38">
        <v>69.626152000000005</v>
      </c>
      <c r="L18" s="37">
        <v>144.84</v>
      </c>
      <c r="M18" s="14">
        <v>5.1149763248279996</v>
      </c>
      <c r="N18" s="38">
        <v>5.6632439999999997</v>
      </c>
      <c r="O18" s="37">
        <v>276.08999999999997</v>
      </c>
      <c r="P18" s="14">
        <v>9.7500263292029992</v>
      </c>
      <c r="Q18" s="38">
        <v>10.795119</v>
      </c>
      <c r="R18" s="37">
        <v>387.75</v>
      </c>
      <c r="S18" s="14">
        <v>13.693262012925</v>
      </c>
      <c r="T18" s="16">
        <v>15.161025</v>
      </c>
    </row>
    <row r="19" spans="2:20" x14ac:dyDescent="0.25">
      <c r="B19" s="36" t="s">
        <v>24</v>
      </c>
      <c r="C19" s="37">
        <v>1546.19783236585</v>
      </c>
      <c r="D19" s="14">
        <v>54.6034611022625</v>
      </c>
      <c r="E19" s="38">
        <v>68.481101995483499</v>
      </c>
      <c r="F19" s="37">
        <v>1566.5878323658501</v>
      </c>
      <c r="G19" s="14">
        <v>55.323527156275503</v>
      </c>
      <c r="H19" s="38">
        <v>69.384175095483499</v>
      </c>
      <c r="I19" s="37">
        <v>1586.96783236585</v>
      </c>
      <c r="J19" s="14">
        <v>56.043240063621496</v>
      </c>
      <c r="K19" s="38">
        <v>70.286805295483504</v>
      </c>
      <c r="L19" s="37">
        <v>122.33</v>
      </c>
      <c r="M19" s="14">
        <v>4.3200431774109997</v>
      </c>
      <c r="N19" s="38">
        <v>5.4179956999999996</v>
      </c>
      <c r="O19" s="37">
        <v>142.72</v>
      </c>
      <c r="P19" s="14">
        <v>5.0401092314240001</v>
      </c>
      <c r="Q19" s="38">
        <v>6.3210687999999999</v>
      </c>
      <c r="R19" s="37">
        <v>163.1</v>
      </c>
      <c r="S19" s="14">
        <v>5.7598221387699997</v>
      </c>
      <c r="T19" s="16">
        <v>7.2236989999999999</v>
      </c>
    </row>
    <row r="20" spans="2:20" x14ac:dyDescent="0.25">
      <c r="B20" s="36" t="s">
        <v>65</v>
      </c>
      <c r="C20" s="37">
        <v>2373.29</v>
      </c>
      <c r="D20" s="14">
        <v>83.811945332443003</v>
      </c>
      <c r="E20" s="38">
        <v>93.923005000000003</v>
      </c>
      <c r="F20" s="37">
        <v>2663.88</v>
      </c>
      <c r="G20" s="14">
        <v>94.074034328796003</v>
      </c>
      <c r="H20" s="38">
        <v>105.459428</v>
      </c>
      <c r="I20" s="37">
        <v>2899.63</v>
      </c>
      <c r="J20" s="14">
        <v>102.39946700332101</v>
      </c>
      <c r="K20" s="38">
        <v>114.818703</v>
      </c>
      <c r="L20" s="37">
        <v>743.31</v>
      </c>
      <c r="M20" s="14">
        <v>26.249744904777</v>
      </c>
      <c r="N20" s="38">
        <v>29.509406999999999</v>
      </c>
      <c r="O20" s="37">
        <v>1033.9000000000001</v>
      </c>
      <c r="P20" s="14">
        <v>36.511833901129997</v>
      </c>
      <c r="Q20" s="38">
        <v>41.045830000000002</v>
      </c>
      <c r="R20" s="37">
        <v>1269.6500000000001</v>
      </c>
      <c r="S20" s="14">
        <v>44.837266575655001</v>
      </c>
      <c r="T20" s="16">
        <v>50.405104999999999</v>
      </c>
    </row>
    <row r="21" spans="2:20" x14ac:dyDescent="0.25">
      <c r="B21" s="36" t="s">
        <v>29</v>
      </c>
      <c r="C21" s="37">
        <v>5487.1677602977798</v>
      </c>
      <c r="D21" s="14">
        <v>193.77750058190199</v>
      </c>
      <c r="E21" s="38">
        <v>232.16206793819899</v>
      </c>
      <c r="F21" s="37">
        <v>5541.0818330035399</v>
      </c>
      <c r="G21" s="14">
        <v>195.68145808994501</v>
      </c>
      <c r="H21" s="38">
        <v>234.44317235438001</v>
      </c>
      <c r="I21" s="37">
        <v>5581.6654078163801</v>
      </c>
      <c r="J21" s="14">
        <v>197.11465350795501</v>
      </c>
      <c r="K21" s="38">
        <v>236.160263404711</v>
      </c>
      <c r="L21" s="37">
        <v>60.897408404692399</v>
      </c>
      <c r="M21" s="14">
        <v>2.15057168070549</v>
      </c>
      <c r="N21" s="38">
        <v>2.5765693496025399</v>
      </c>
      <c r="O21" s="37">
        <v>114.81148111044899</v>
      </c>
      <c r="P21" s="14">
        <v>4.0545291887488402</v>
      </c>
      <c r="Q21" s="38">
        <v>4.8576737657830797</v>
      </c>
      <c r="R21" s="37">
        <v>155.395055923283</v>
      </c>
      <c r="S21" s="14">
        <v>5.4877246067585999</v>
      </c>
      <c r="T21" s="16">
        <v>6.5747648161141097</v>
      </c>
    </row>
    <row r="22" spans="2:20" x14ac:dyDescent="0.25">
      <c r="B22" s="36" t="s">
        <v>27</v>
      </c>
      <c r="C22" s="37">
        <v>9994.8150873197592</v>
      </c>
      <c r="D22" s="14">
        <v>352.96356353682899</v>
      </c>
      <c r="E22" s="38">
        <v>400.292344247156</v>
      </c>
      <c r="F22" s="37">
        <v>10198.9731827005</v>
      </c>
      <c r="G22" s="14">
        <v>360.17333862930798</v>
      </c>
      <c r="H22" s="38">
        <v>408.46887596715601</v>
      </c>
      <c r="I22" s="37">
        <v>10649.1498853223</v>
      </c>
      <c r="J22" s="14">
        <v>376.07117883849901</v>
      </c>
      <c r="K22" s="38">
        <v>426.49845290715598</v>
      </c>
      <c r="L22" s="37">
        <v>1968.35843313749</v>
      </c>
      <c r="M22" s="14">
        <v>69.511922012384602</v>
      </c>
      <c r="N22" s="38">
        <v>78.8327552471563</v>
      </c>
      <c r="O22" s="37">
        <v>2172.5165285182602</v>
      </c>
      <c r="P22" s="14">
        <v>76.721697104863395</v>
      </c>
      <c r="Q22" s="38">
        <v>87.009286967156399</v>
      </c>
      <c r="R22" s="37">
        <v>2622.6932311399801</v>
      </c>
      <c r="S22" s="14">
        <v>92.619537314054497</v>
      </c>
      <c r="T22" s="16">
        <v>105.038863907156</v>
      </c>
    </row>
    <row r="23" spans="2:20" x14ac:dyDescent="0.25">
      <c r="B23" s="36" t="s">
        <v>64</v>
      </c>
      <c r="C23" s="37">
        <v>11501.95</v>
      </c>
      <c r="D23" s="14">
        <v>406.18753065006501</v>
      </c>
      <c r="E23" s="38">
        <v>464.67878000000002</v>
      </c>
      <c r="F23" s="37">
        <v>14891.67</v>
      </c>
      <c r="G23" s="14">
        <v>525.89436265638903</v>
      </c>
      <c r="H23" s="38">
        <v>601.623468</v>
      </c>
      <c r="I23" s="37">
        <v>18597.900000000001</v>
      </c>
      <c r="J23" s="14">
        <v>656.77863981993005</v>
      </c>
      <c r="K23" s="38">
        <v>751.35515999999996</v>
      </c>
      <c r="L23" s="37">
        <v>6591.98</v>
      </c>
      <c r="M23" s="14">
        <v>232.79357659306601</v>
      </c>
      <c r="N23" s="38">
        <v>266.31599199999999</v>
      </c>
      <c r="O23" s="37">
        <v>9981.7000000000007</v>
      </c>
      <c r="P23" s="14">
        <v>352.50040859939003</v>
      </c>
      <c r="Q23" s="38">
        <v>403.26067999999998</v>
      </c>
      <c r="R23" s="37">
        <v>13687.93</v>
      </c>
      <c r="S23" s="14">
        <v>483.38468576293099</v>
      </c>
      <c r="T23" s="16">
        <v>552.99237200000005</v>
      </c>
    </row>
    <row r="24" spans="2:20" x14ac:dyDescent="0.25">
      <c r="B24" s="36" t="s">
        <v>26</v>
      </c>
      <c r="C24" s="37">
        <v>12097.5684346745</v>
      </c>
      <c r="D24" s="14">
        <v>427.22159715097098</v>
      </c>
      <c r="E24" s="38">
        <v>469.99053368710503</v>
      </c>
      <c r="F24" s="37">
        <v>13048.756157943</v>
      </c>
      <c r="G24" s="14">
        <v>460.81247456732899</v>
      </c>
      <c r="H24" s="38">
        <v>506.94417673608501</v>
      </c>
      <c r="I24" s="37">
        <v>14104.7161148705</v>
      </c>
      <c r="J24" s="14">
        <v>498.10334849477198</v>
      </c>
      <c r="K24" s="38">
        <v>547.96822106271998</v>
      </c>
      <c r="L24" s="37">
        <v>1056.21738256307</v>
      </c>
      <c r="M24" s="14">
        <v>37.299964827961197</v>
      </c>
      <c r="N24" s="38">
        <v>41.034045312575202</v>
      </c>
      <c r="O24" s="37">
        <v>2007.4051058315399</v>
      </c>
      <c r="P24" s="14">
        <v>70.890842244319103</v>
      </c>
      <c r="Q24" s="38">
        <v>77.9876883615553</v>
      </c>
      <c r="R24" s="37">
        <v>3063.36506275908</v>
      </c>
      <c r="S24" s="14">
        <v>108.18171617176201</v>
      </c>
      <c r="T24" s="16">
        <v>119.01173268818999</v>
      </c>
    </row>
    <row r="25" spans="2:20" x14ac:dyDescent="0.25">
      <c r="B25" s="36" t="s">
        <v>31</v>
      </c>
      <c r="C25" s="37">
        <v>28414.58</v>
      </c>
      <c r="D25" s="14">
        <v>1003.45142212049</v>
      </c>
      <c r="E25" s="38">
        <v>1176.3636120000001</v>
      </c>
      <c r="F25" s="37">
        <v>30697.58</v>
      </c>
      <c r="G25" s="14">
        <v>1084.0748061965901</v>
      </c>
      <c r="H25" s="38">
        <v>1270.8798119999999</v>
      </c>
      <c r="I25" s="37">
        <v>33339.58</v>
      </c>
      <c r="J25" s="14">
        <v>1177.37615561799</v>
      </c>
      <c r="K25" s="38">
        <v>1380.2586120000001</v>
      </c>
      <c r="L25" s="37">
        <v>2080</v>
      </c>
      <c r="M25" s="14">
        <v>73.454506735999999</v>
      </c>
      <c r="N25" s="38">
        <v>86.111999999999995</v>
      </c>
      <c r="O25" s="37">
        <v>4363</v>
      </c>
      <c r="P25" s="14">
        <v>154.07789081210001</v>
      </c>
      <c r="Q25" s="38">
        <v>180.62819999999999</v>
      </c>
      <c r="R25" s="37">
        <v>7005</v>
      </c>
      <c r="S25" s="14">
        <v>247.37924023350001</v>
      </c>
      <c r="T25" s="16">
        <v>290.00700000000001</v>
      </c>
    </row>
    <row r="26" spans="2:20" x14ac:dyDescent="0.25">
      <c r="B26" s="36" t="s">
        <v>32</v>
      </c>
      <c r="C26" s="37">
        <v>43120.627381865997</v>
      </c>
      <c r="D26" s="14">
        <v>1522.7905838854899</v>
      </c>
      <c r="E26" s="38">
        <v>1128.89802485725</v>
      </c>
      <c r="F26" s="37">
        <v>44630.000715257302</v>
      </c>
      <c r="G26" s="14">
        <v>1576.09360008007</v>
      </c>
      <c r="H26" s="38">
        <v>1168.4134187254399</v>
      </c>
      <c r="I26" s="37">
        <v>45664.491098708102</v>
      </c>
      <c r="J26" s="14">
        <v>1612.62628317599</v>
      </c>
      <c r="K26" s="38">
        <v>1195.4963769641799</v>
      </c>
      <c r="L26" s="37">
        <v>2031.5819159851601</v>
      </c>
      <c r="M26" s="14">
        <v>71.744638236763294</v>
      </c>
      <c r="N26" s="38">
        <v>53.186814560491499</v>
      </c>
      <c r="O26" s="37">
        <v>3540.9552493765</v>
      </c>
      <c r="P26" s="14">
        <v>125.047654431346</v>
      </c>
      <c r="Q26" s="38">
        <v>92.702208428676798</v>
      </c>
      <c r="R26" s="37">
        <v>4575.4456328273</v>
      </c>
      <c r="S26" s="14">
        <v>161.58033752726701</v>
      </c>
      <c r="T26" s="16">
        <v>119.78516666741901</v>
      </c>
    </row>
    <row r="27" spans="2:20" x14ac:dyDescent="0.25">
      <c r="B27" s="39" t="s">
        <v>33</v>
      </c>
      <c r="C27" s="40">
        <v>108075.08765099999</v>
      </c>
      <c r="D27" s="20">
        <v>3816.63569896835</v>
      </c>
      <c r="E27" s="41">
        <v>4267.2420392145004</v>
      </c>
      <c r="F27" s="40">
        <v>108575.08765099999</v>
      </c>
      <c r="G27" s="20">
        <v>3834.29303231835</v>
      </c>
      <c r="H27" s="41">
        <v>4286.5060392144997</v>
      </c>
      <c r="I27" s="40">
        <v>110263.08765099999</v>
      </c>
      <c r="J27" s="20">
        <v>3893.9041897079501</v>
      </c>
      <c r="K27" s="41">
        <v>4344.0452392144998</v>
      </c>
      <c r="L27" s="40">
        <v>530</v>
      </c>
      <c r="M27" s="20">
        <v>18.716773351000001</v>
      </c>
      <c r="N27" s="41">
        <v>20.594799999999999</v>
      </c>
      <c r="O27" s="40">
        <v>1030</v>
      </c>
      <c r="P27" s="20">
        <v>36.374106701000002</v>
      </c>
      <c r="Q27" s="41">
        <v>39.858800000000002</v>
      </c>
      <c r="R27" s="40">
        <v>2718</v>
      </c>
      <c r="S27" s="20">
        <v>95.985264090599998</v>
      </c>
      <c r="T27" s="22">
        <v>97.397999999999996</v>
      </c>
    </row>
    <row r="28" spans="2:20" ht="17.25" customHeight="1" x14ac:dyDescent="0.25">
      <c r="B28" s="42" t="s">
        <v>66</v>
      </c>
      <c r="C28" s="43">
        <v>227906.90808146799</v>
      </c>
      <c r="D28" s="44">
        <v>8048.4564975245703</v>
      </c>
      <c r="E28" s="45">
        <v>8514.5280366388997</v>
      </c>
      <c r="F28" s="43">
        <v>237367.997811159</v>
      </c>
      <c r="G28" s="44">
        <v>8382.5717279473993</v>
      </c>
      <c r="H28" s="45">
        <v>8874.6048338828896</v>
      </c>
      <c r="I28" s="43">
        <v>248582.57509817599</v>
      </c>
      <c r="J28" s="44">
        <v>8778.6107870197993</v>
      </c>
      <c r="K28" s="45">
        <v>9302.6433544686006</v>
      </c>
      <c r="L28" s="43">
        <v>15587.6868335748</v>
      </c>
      <c r="M28" s="44">
        <v>550.473965151671</v>
      </c>
      <c r="N28" s="45">
        <v>599.273006625888</v>
      </c>
      <c r="O28" s="43">
        <v>25048.776563265899</v>
      </c>
      <c r="P28" s="44">
        <v>884.58919557450497</v>
      </c>
      <c r="Q28" s="45">
        <v>959.34980386988195</v>
      </c>
      <c r="R28" s="43">
        <v>36263.353850282998</v>
      </c>
      <c r="S28" s="44">
        <v>1280.6282546469099</v>
      </c>
      <c r="T28" s="46">
        <v>1387.38832445559</v>
      </c>
    </row>
    <row r="29" spans="2:20" ht="17.25" customHeight="1" thickBot="1" x14ac:dyDescent="0.3">
      <c r="B29" s="47" t="s">
        <v>67</v>
      </c>
      <c r="C29" s="48">
        <v>233287.76437104601</v>
      </c>
      <c r="D29" s="26">
        <v>8238.4796439516304</v>
      </c>
      <c r="E29" s="49">
        <v>8716.0640523531092</v>
      </c>
      <c r="F29" s="48">
        <v>237226.673338686</v>
      </c>
      <c r="G29" s="26">
        <v>8377.5809013054695</v>
      </c>
      <c r="H29" s="49">
        <v>8868.4648933798107</v>
      </c>
      <c r="I29" s="48">
        <v>241547.72326289499</v>
      </c>
      <c r="J29" s="26">
        <v>8530.1773391729694</v>
      </c>
      <c r="K29" s="49">
        <v>9038.3254108620204</v>
      </c>
      <c r="L29" s="48">
        <v>21144.8178796108</v>
      </c>
      <c r="M29" s="26">
        <v>746.72219585065397</v>
      </c>
      <c r="N29" s="49">
        <v>807.54664387920798</v>
      </c>
      <c r="O29" s="48">
        <v>24769.296948119099</v>
      </c>
      <c r="P29" s="26">
        <v>874.71946611615397</v>
      </c>
      <c r="Q29" s="49">
        <v>947.61469055017801</v>
      </c>
      <c r="R29" s="48">
        <v>29311.6136979767</v>
      </c>
      <c r="S29" s="26">
        <v>1035.1298681832</v>
      </c>
      <c r="T29" s="28">
        <v>1126.1368587931399</v>
      </c>
    </row>
  </sheetData>
  <mergeCells count="8">
    <mergeCell ref="R4:T4"/>
    <mergeCell ref="B2:T2"/>
    <mergeCell ref="B4:B5"/>
    <mergeCell ref="C4:E4"/>
    <mergeCell ref="F4:H4"/>
    <mergeCell ref="I4:K4"/>
    <mergeCell ref="L4:N4"/>
    <mergeCell ref="O4:Q4"/>
  </mergeCells>
  <printOptions gridLines="1"/>
  <pageMargins left="0.05" right="0.05" top="0.5" bottom="0.5" header="0" footer="0"/>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072"/>
    <pageSetUpPr fitToPage="1"/>
  </sheetPr>
  <dimension ref="A1:N13"/>
  <sheetViews>
    <sheetView zoomScale="85" zoomScaleNormal="85" zoomScalePageLayoutView="85" workbookViewId="0"/>
  </sheetViews>
  <sheetFormatPr defaultColWidth="11.42578125" defaultRowHeight="15" x14ac:dyDescent="0.25"/>
  <cols>
    <col min="1" max="1" width="11.42578125" style="4"/>
    <col min="2" max="2" width="20.5703125" customWidth="1"/>
    <col min="3" max="3" width="12.7109375" customWidth="1"/>
    <col min="4" max="4" width="9.7109375" customWidth="1"/>
    <col min="5" max="5" width="12.7109375" customWidth="1"/>
    <col min="6" max="6" width="9.7109375" customWidth="1"/>
    <col min="7" max="7" width="12.7109375" customWidth="1"/>
    <col min="8" max="8" width="9.7109375" customWidth="1"/>
    <col min="9" max="9" width="12.7109375" customWidth="1"/>
    <col min="10" max="10" width="8.7109375" customWidth="1"/>
    <col min="11" max="11" width="12.7109375" customWidth="1"/>
    <col min="12" max="12" width="8.7109375" customWidth="1"/>
    <col min="13" max="13" width="12.7109375" customWidth="1"/>
    <col min="14" max="14" width="8.7109375" customWidth="1"/>
  </cols>
  <sheetData>
    <row r="1" spans="2:14" ht="15" customHeight="1" x14ac:dyDescent="0.25"/>
    <row r="2" spans="2:14" ht="21" customHeight="1" x14ac:dyDescent="0.35">
      <c r="B2" s="330" t="s">
        <v>38</v>
      </c>
      <c r="C2" s="331"/>
      <c r="D2" s="331"/>
      <c r="E2" s="331"/>
      <c r="F2" s="331"/>
      <c r="G2" s="331"/>
      <c r="H2" s="331"/>
      <c r="I2" s="331"/>
      <c r="J2" s="331"/>
      <c r="K2" s="331"/>
      <c r="L2" s="331"/>
      <c r="M2" s="331"/>
      <c r="N2" s="331"/>
    </row>
    <row r="3" spans="2:14" ht="15" customHeight="1" thickBot="1" x14ac:dyDescent="0.3"/>
    <row r="4" spans="2:14" ht="36" customHeight="1" x14ac:dyDescent="0.25">
      <c r="B4" s="50"/>
      <c r="C4" s="332" t="s">
        <v>1</v>
      </c>
      <c r="D4" s="334"/>
      <c r="E4" s="332" t="s">
        <v>2</v>
      </c>
      <c r="F4" s="334"/>
      <c r="G4" s="332" t="s">
        <v>3</v>
      </c>
      <c r="H4" s="334"/>
      <c r="I4" s="332" t="s">
        <v>4</v>
      </c>
      <c r="J4" s="334"/>
      <c r="K4" s="332" t="s">
        <v>5</v>
      </c>
      <c r="L4" s="334"/>
      <c r="M4" s="332" t="s">
        <v>6</v>
      </c>
      <c r="N4" s="333"/>
    </row>
    <row r="5" spans="2:14" x14ac:dyDescent="0.25">
      <c r="B5" s="51" t="s">
        <v>7</v>
      </c>
      <c r="C5" s="62" t="s">
        <v>39</v>
      </c>
      <c r="D5" s="63" t="s">
        <v>11</v>
      </c>
      <c r="E5" s="62" t="s">
        <v>39</v>
      </c>
      <c r="F5" s="63" t="s">
        <v>11</v>
      </c>
      <c r="G5" s="62" t="s">
        <v>39</v>
      </c>
      <c r="H5" s="63" t="s">
        <v>11</v>
      </c>
      <c r="I5" s="62" t="s">
        <v>39</v>
      </c>
      <c r="J5" s="63" t="s">
        <v>11</v>
      </c>
      <c r="K5" s="62" t="s">
        <v>39</v>
      </c>
      <c r="L5" s="63" t="s">
        <v>11</v>
      </c>
      <c r="M5" s="62" t="s">
        <v>39</v>
      </c>
      <c r="N5" s="64" t="s">
        <v>11</v>
      </c>
    </row>
    <row r="6" spans="2:14" x14ac:dyDescent="0.25">
      <c r="B6" s="58" t="s">
        <v>18</v>
      </c>
      <c r="C6" s="52">
        <v>9.2577476458463597</v>
      </c>
      <c r="D6" s="53">
        <v>0.44529766176521002</v>
      </c>
      <c r="E6" s="52">
        <v>9.2577476458463597</v>
      </c>
      <c r="F6" s="53">
        <v>0.44529766176521002</v>
      </c>
      <c r="G6" s="52">
        <v>9.2577476458463597</v>
      </c>
      <c r="H6" s="53">
        <v>0.44529766176521002</v>
      </c>
      <c r="I6" s="52" t="s">
        <v>19</v>
      </c>
      <c r="J6" s="53" t="s">
        <v>19</v>
      </c>
      <c r="K6" s="52" t="s">
        <v>19</v>
      </c>
      <c r="L6" s="53" t="s">
        <v>19</v>
      </c>
      <c r="M6" s="52" t="s">
        <v>19</v>
      </c>
      <c r="N6" s="65" t="s">
        <v>19</v>
      </c>
    </row>
    <row r="7" spans="2:14" x14ac:dyDescent="0.25">
      <c r="B7" s="59" t="s">
        <v>69</v>
      </c>
      <c r="C7" s="54">
        <v>34.636028967361099</v>
      </c>
      <c r="D7" s="55">
        <v>1.6659929933300699</v>
      </c>
      <c r="E7" s="54">
        <v>34.636028967361099</v>
      </c>
      <c r="F7" s="55">
        <v>1.6659929933300699</v>
      </c>
      <c r="G7" s="54">
        <v>34.636028967361099</v>
      </c>
      <c r="H7" s="55">
        <v>1.6659929933300699</v>
      </c>
      <c r="I7" s="54" t="s">
        <v>19</v>
      </c>
      <c r="J7" s="55" t="s">
        <v>19</v>
      </c>
      <c r="K7" s="54" t="s">
        <v>19</v>
      </c>
      <c r="L7" s="55" t="s">
        <v>19</v>
      </c>
      <c r="M7" s="54" t="s">
        <v>19</v>
      </c>
      <c r="N7" s="66" t="s">
        <v>19</v>
      </c>
    </row>
    <row r="8" spans="2:14" x14ac:dyDescent="0.25">
      <c r="B8" s="60" t="s">
        <v>26</v>
      </c>
      <c r="C8" s="54">
        <v>111.25297999999999</v>
      </c>
      <c r="D8" s="55">
        <v>5.5626490000000004</v>
      </c>
      <c r="E8" s="54">
        <v>122.48723</v>
      </c>
      <c r="F8" s="55">
        <v>6.1243615</v>
      </c>
      <c r="G8" s="54">
        <v>131.01709</v>
      </c>
      <c r="H8" s="55">
        <v>6.5508544999999998</v>
      </c>
      <c r="I8" s="54">
        <v>14.990880000000001</v>
      </c>
      <c r="J8" s="55">
        <v>0.74954399999999999</v>
      </c>
      <c r="K8" s="54">
        <v>26.22513</v>
      </c>
      <c r="L8" s="55">
        <v>1.3112565</v>
      </c>
      <c r="M8" s="54">
        <v>34.754989999999999</v>
      </c>
      <c r="N8" s="66">
        <v>1.7377495000000001</v>
      </c>
    </row>
    <row r="9" spans="2:14" x14ac:dyDescent="0.25">
      <c r="B9" s="60" t="s">
        <v>32</v>
      </c>
      <c r="C9" s="54">
        <v>1431.5477858705899</v>
      </c>
      <c r="D9" s="55">
        <v>71.577389293529606</v>
      </c>
      <c r="E9" s="54">
        <v>1553.99133378899</v>
      </c>
      <c r="F9" s="55">
        <v>77.699566689449398</v>
      </c>
      <c r="G9" s="54">
        <v>1712.04569801658</v>
      </c>
      <c r="H9" s="55">
        <v>85.602284900829005</v>
      </c>
      <c r="I9" s="54">
        <v>115.075785870592</v>
      </c>
      <c r="J9" s="55">
        <v>5.7537892935296</v>
      </c>
      <c r="K9" s="54">
        <v>237.519333788989</v>
      </c>
      <c r="L9" s="55">
        <v>11.875966689449401</v>
      </c>
      <c r="M9" s="54">
        <v>395.57369801658001</v>
      </c>
      <c r="N9" s="66">
        <v>19.778684900828999</v>
      </c>
    </row>
    <row r="10" spans="2:14" x14ac:dyDescent="0.25">
      <c r="B10" s="60" t="s">
        <v>27</v>
      </c>
      <c r="C10" s="54">
        <v>1676.68525405898</v>
      </c>
      <c r="D10" s="55">
        <v>82.660583025107599</v>
      </c>
      <c r="E10" s="54">
        <v>1712.6619936269799</v>
      </c>
      <c r="F10" s="55">
        <v>84.434236285810002</v>
      </c>
      <c r="G10" s="54">
        <v>1791.9921321629799</v>
      </c>
      <c r="H10" s="55">
        <v>88.345212115634794</v>
      </c>
      <c r="I10" s="54">
        <v>345.26123960897701</v>
      </c>
      <c r="J10" s="55">
        <v>17.021379112722599</v>
      </c>
      <c r="K10" s="54">
        <v>381.23797917697698</v>
      </c>
      <c r="L10" s="55">
        <v>18.795032373424998</v>
      </c>
      <c r="M10" s="54">
        <v>460.56811771297703</v>
      </c>
      <c r="N10" s="66">
        <v>22.706008203249802</v>
      </c>
    </row>
    <row r="11" spans="2:14" x14ac:dyDescent="0.25">
      <c r="B11" s="61" t="s">
        <v>33</v>
      </c>
      <c r="C11" s="56">
        <v>3450.5711032022</v>
      </c>
      <c r="D11" s="57">
        <v>158.96781072452501</v>
      </c>
      <c r="E11" s="56">
        <v>3468.5961032022001</v>
      </c>
      <c r="F11" s="57">
        <v>159.79822247452501</v>
      </c>
      <c r="G11" s="56">
        <v>3529.3761032021998</v>
      </c>
      <c r="H11" s="57">
        <v>162.59835707452501</v>
      </c>
      <c r="I11" s="56">
        <v>19.077999999999999</v>
      </c>
      <c r="J11" s="57">
        <v>0.87892345999999999</v>
      </c>
      <c r="K11" s="56">
        <v>37.103000000000002</v>
      </c>
      <c r="L11" s="57">
        <v>1.7093352100000001</v>
      </c>
      <c r="M11" s="56">
        <v>97.882999999999996</v>
      </c>
      <c r="N11" s="67">
        <v>4.5094698099999997</v>
      </c>
    </row>
    <row r="12" spans="2:14" x14ac:dyDescent="0.25">
      <c r="B12" s="75" t="s">
        <v>66</v>
      </c>
      <c r="C12" s="72">
        <v>6713.9508997449802</v>
      </c>
      <c r="D12" s="73">
        <v>320.87972269825798</v>
      </c>
      <c r="E12" s="72">
        <v>6901.6304372313698</v>
      </c>
      <c r="F12" s="73">
        <v>330.16767760488</v>
      </c>
      <c r="G12" s="72">
        <v>7208.3247999949699</v>
      </c>
      <c r="H12" s="73">
        <v>345.20799924608502</v>
      </c>
      <c r="I12" s="72">
        <v>494.40590547956901</v>
      </c>
      <c r="J12" s="73">
        <v>24.403635866252198</v>
      </c>
      <c r="K12" s="72">
        <v>682.08544296596597</v>
      </c>
      <c r="L12" s="73">
        <v>33.691590772874399</v>
      </c>
      <c r="M12" s="72">
        <v>988.77980572955698</v>
      </c>
      <c r="N12" s="74">
        <v>48.731912414078799</v>
      </c>
    </row>
    <row r="13" spans="2:14" ht="15.75" thickBot="1" x14ac:dyDescent="0.3">
      <c r="B13" s="71" t="s">
        <v>67</v>
      </c>
      <c r="C13" s="68">
        <v>6773.7578782134997</v>
      </c>
      <c r="D13" s="69">
        <v>323.78791050662198</v>
      </c>
      <c r="E13" s="68">
        <v>6898.3782326437904</v>
      </c>
      <c r="F13" s="69">
        <v>330.00713851122799</v>
      </c>
      <c r="G13" s="68">
        <v>7032.0802299735697</v>
      </c>
      <c r="H13" s="69">
        <v>336.679033076689</v>
      </c>
      <c r="I13" s="68">
        <v>569.64837250675805</v>
      </c>
      <c r="J13" s="69">
        <v>28.0934429583724</v>
      </c>
      <c r="K13" s="68">
        <v>666.22323831712902</v>
      </c>
      <c r="L13" s="69">
        <v>32.891472860464098</v>
      </c>
      <c r="M13" s="68">
        <v>813.45981244145503</v>
      </c>
      <c r="N13" s="70">
        <v>40.245123635867799</v>
      </c>
    </row>
  </sheetData>
  <mergeCells count="7">
    <mergeCell ref="M4:N4"/>
    <mergeCell ref="B2:N2"/>
    <mergeCell ref="C4:D4"/>
    <mergeCell ref="E4:F4"/>
    <mergeCell ref="G4:H4"/>
    <mergeCell ref="I4:J4"/>
    <mergeCell ref="K4:L4"/>
  </mergeCells>
  <printOptions gridLines="1"/>
  <pageMargins left="0.05" right="0.05" top="0.5" bottom="0.5" header="0" footer="0"/>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072"/>
    <pageSetUpPr fitToPage="1"/>
  </sheetPr>
  <dimension ref="A1:H38"/>
  <sheetViews>
    <sheetView zoomScale="85" zoomScaleNormal="85" zoomScalePageLayoutView="85" workbookViewId="0"/>
  </sheetViews>
  <sheetFormatPr defaultColWidth="11.42578125" defaultRowHeight="15" x14ac:dyDescent="0.25"/>
  <cols>
    <col min="1" max="1" width="11.42578125" style="4"/>
    <col min="2" max="2" width="36.7109375" customWidth="1"/>
    <col min="3" max="3" width="24.85546875" customWidth="1"/>
    <col min="4" max="5" width="19.7109375" customWidth="1"/>
    <col min="6" max="8" width="24" customWidth="1"/>
  </cols>
  <sheetData>
    <row r="1" spans="2:8" ht="15" customHeight="1" x14ac:dyDescent="0.25"/>
    <row r="2" spans="2:8" ht="21" customHeight="1" x14ac:dyDescent="0.35">
      <c r="B2" s="330" t="s">
        <v>40</v>
      </c>
      <c r="C2" s="331"/>
      <c r="D2" s="331"/>
      <c r="E2" s="331"/>
      <c r="F2" s="331"/>
      <c r="G2" s="331"/>
      <c r="H2" s="331"/>
    </row>
    <row r="3" spans="2:8" ht="15" customHeight="1" thickBot="1" x14ac:dyDescent="0.3"/>
    <row r="4" spans="2:8" ht="45" x14ac:dyDescent="0.25">
      <c r="B4" s="335" t="s">
        <v>7</v>
      </c>
      <c r="C4" s="88" t="s">
        <v>1</v>
      </c>
      <c r="D4" s="88" t="s">
        <v>2</v>
      </c>
      <c r="E4" s="88" t="s">
        <v>3</v>
      </c>
      <c r="F4" s="90" t="s">
        <v>4</v>
      </c>
      <c r="G4" s="88" t="s">
        <v>5</v>
      </c>
      <c r="H4" s="89" t="s">
        <v>6</v>
      </c>
    </row>
    <row r="5" spans="2:8" x14ac:dyDescent="0.25">
      <c r="B5" s="336"/>
      <c r="C5" s="62" t="s">
        <v>11</v>
      </c>
      <c r="D5" s="97" t="s">
        <v>11</v>
      </c>
      <c r="E5" s="63" t="s">
        <v>11</v>
      </c>
      <c r="F5" s="62" t="s">
        <v>11</v>
      </c>
      <c r="G5" s="97" t="s">
        <v>11</v>
      </c>
      <c r="H5" s="64" t="s">
        <v>11</v>
      </c>
    </row>
    <row r="6" spans="2:8" x14ac:dyDescent="0.25">
      <c r="B6" s="5" t="s">
        <v>36</v>
      </c>
      <c r="C6" s="76">
        <v>0.10113696</v>
      </c>
      <c r="D6" s="77">
        <v>0.17839436</v>
      </c>
      <c r="E6" s="45">
        <v>0.30832725999999999</v>
      </c>
      <c r="F6" s="91">
        <v>6.9764766645999995E-2</v>
      </c>
      <c r="G6" s="77">
        <v>0.14702216664600001</v>
      </c>
      <c r="H6" s="46">
        <v>0.276955066646</v>
      </c>
    </row>
    <row r="7" spans="2:8" x14ac:dyDescent="0.25">
      <c r="B7" s="11" t="s">
        <v>12</v>
      </c>
      <c r="C7" s="78">
        <v>0.33642988000000001</v>
      </c>
      <c r="D7" s="79">
        <v>0.34569388000000001</v>
      </c>
      <c r="E7" s="38">
        <v>0.35650187999999999</v>
      </c>
      <c r="F7" s="92">
        <v>9.2639999999999997E-3</v>
      </c>
      <c r="G7" s="79">
        <v>1.8527999999999999E-2</v>
      </c>
      <c r="H7" s="16">
        <v>2.9336000000000001E-2</v>
      </c>
    </row>
    <row r="8" spans="2:8" x14ac:dyDescent="0.25">
      <c r="B8" s="11" t="s">
        <v>37</v>
      </c>
      <c r="C8" s="78">
        <v>0.93186360000000001</v>
      </c>
      <c r="D8" s="79">
        <v>0.93186360000000001</v>
      </c>
      <c r="E8" s="38">
        <v>0.93186360000000001</v>
      </c>
      <c r="F8" s="92" t="s">
        <v>19</v>
      </c>
      <c r="G8" s="79" t="s">
        <v>19</v>
      </c>
      <c r="H8" s="16" t="s">
        <v>19</v>
      </c>
    </row>
    <row r="9" spans="2:8" x14ac:dyDescent="0.25">
      <c r="B9" s="11" t="s">
        <v>17</v>
      </c>
      <c r="C9" s="78">
        <v>2.0852022692501699</v>
      </c>
      <c r="D9" s="79">
        <v>2.1312081689116402</v>
      </c>
      <c r="E9" s="38">
        <v>2.1995572699941999</v>
      </c>
      <c r="F9" s="92">
        <v>0.12113514925016999</v>
      </c>
      <c r="G9" s="79">
        <v>0.16714104891164</v>
      </c>
      <c r="H9" s="16">
        <v>0.23549014999420001</v>
      </c>
    </row>
    <row r="10" spans="2:8" x14ac:dyDescent="0.25">
      <c r="B10" s="11" t="s">
        <v>20</v>
      </c>
      <c r="C10" s="78">
        <v>4.7207558310263904</v>
      </c>
      <c r="D10" s="79">
        <v>4.7794839994477103</v>
      </c>
      <c r="E10" s="38">
        <v>4.8678419102963204</v>
      </c>
      <c r="F10" s="92">
        <v>0.39957274152328998</v>
      </c>
      <c r="G10" s="79">
        <v>0.45830090994462003</v>
      </c>
      <c r="H10" s="16">
        <v>0.54665882079322003</v>
      </c>
    </row>
    <row r="11" spans="2:8" x14ac:dyDescent="0.25">
      <c r="B11" s="11" t="s">
        <v>18</v>
      </c>
      <c r="C11" s="78">
        <v>3.84218384330774</v>
      </c>
      <c r="D11" s="79">
        <v>3.84218384330774</v>
      </c>
      <c r="E11" s="38">
        <v>3.84218384330774</v>
      </c>
      <c r="F11" s="92" t="s">
        <v>19</v>
      </c>
      <c r="G11" s="79" t="s">
        <v>19</v>
      </c>
      <c r="H11" s="16" t="s">
        <v>19</v>
      </c>
    </row>
    <row r="12" spans="2:8" x14ac:dyDescent="0.25">
      <c r="B12" s="11" t="s">
        <v>16</v>
      </c>
      <c r="C12" s="78">
        <v>5.9007820291923503</v>
      </c>
      <c r="D12" s="79">
        <v>6.0947344212424497</v>
      </c>
      <c r="E12" s="38">
        <v>6.3007423519349199</v>
      </c>
      <c r="F12" s="92">
        <v>0.66967053772652996</v>
      </c>
      <c r="G12" s="79">
        <v>0.86362292977663002</v>
      </c>
      <c r="H12" s="16">
        <v>1.0696308604691001</v>
      </c>
    </row>
    <row r="13" spans="2:8" x14ac:dyDescent="0.25">
      <c r="B13" s="11" t="s">
        <v>14</v>
      </c>
      <c r="C13" s="78">
        <v>5.8491359999999997</v>
      </c>
      <c r="D13" s="79">
        <v>8.5736159999999995</v>
      </c>
      <c r="E13" s="38">
        <v>12.170375999999999</v>
      </c>
      <c r="F13" s="92">
        <v>3.7022400000000002</v>
      </c>
      <c r="G13" s="79">
        <v>6.4267200000000004</v>
      </c>
      <c r="H13" s="16">
        <v>10.023479999999999</v>
      </c>
    </row>
    <row r="14" spans="2:8" x14ac:dyDescent="0.25">
      <c r="B14" s="11" t="s">
        <v>25</v>
      </c>
      <c r="C14" s="78">
        <v>7.0616018491904802</v>
      </c>
      <c r="D14" s="79">
        <v>7.6796269036886704</v>
      </c>
      <c r="E14" s="38">
        <v>8.4416232458330605</v>
      </c>
      <c r="F14" s="92">
        <v>1.26239677035228</v>
      </c>
      <c r="G14" s="79">
        <v>1.88042182485047</v>
      </c>
      <c r="H14" s="16">
        <v>2.6424181669948599</v>
      </c>
    </row>
    <row r="15" spans="2:8" x14ac:dyDescent="0.25">
      <c r="B15" s="11" t="s">
        <v>21</v>
      </c>
      <c r="C15" s="78">
        <v>30.3049650402927</v>
      </c>
      <c r="D15" s="79">
        <v>30.3049650402927</v>
      </c>
      <c r="E15" s="38">
        <v>30.3049650402927</v>
      </c>
      <c r="F15" s="92" t="s">
        <v>19</v>
      </c>
      <c r="G15" s="79" t="s">
        <v>19</v>
      </c>
      <c r="H15" s="16" t="s">
        <v>19</v>
      </c>
    </row>
    <row r="16" spans="2:8" x14ac:dyDescent="0.25">
      <c r="B16" s="11" t="s">
        <v>28</v>
      </c>
      <c r="C16" s="78">
        <v>32.629028613715597</v>
      </c>
      <c r="D16" s="79">
        <v>32.855719028755203</v>
      </c>
      <c r="E16" s="38">
        <v>33.4522398543604</v>
      </c>
      <c r="F16" s="92">
        <v>1.7862287942414901</v>
      </c>
      <c r="G16" s="79">
        <v>2.0129192092811201</v>
      </c>
      <c r="H16" s="16">
        <v>2.6094400348863198</v>
      </c>
    </row>
    <row r="17" spans="2:8" x14ac:dyDescent="0.25">
      <c r="B17" s="11" t="s">
        <v>30</v>
      </c>
      <c r="C17" s="78">
        <v>60.716361438322998</v>
      </c>
      <c r="D17" s="79">
        <v>61.615823199300301</v>
      </c>
      <c r="E17" s="38">
        <v>65.064437018927194</v>
      </c>
      <c r="F17" s="92">
        <v>2.0091106963229501</v>
      </c>
      <c r="G17" s="79">
        <v>2.90857245730025</v>
      </c>
      <c r="H17" s="16">
        <v>6.3571862769271998</v>
      </c>
    </row>
    <row r="18" spans="2:8" x14ac:dyDescent="0.25">
      <c r="B18" s="11" t="s">
        <v>23</v>
      </c>
      <c r="C18" s="78">
        <v>60.128371000000001</v>
      </c>
      <c r="D18" s="79">
        <v>65.260245999999995</v>
      </c>
      <c r="E18" s="38">
        <v>69.626152000000005</v>
      </c>
      <c r="F18" s="92">
        <v>5.6632439999999997</v>
      </c>
      <c r="G18" s="79">
        <v>10.795119</v>
      </c>
      <c r="H18" s="16">
        <v>15.161025</v>
      </c>
    </row>
    <row r="19" spans="2:8" x14ac:dyDescent="0.25">
      <c r="B19" s="11" t="s">
        <v>24</v>
      </c>
      <c r="C19" s="78">
        <v>68.481101995483499</v>
      </c>
      <c r="D19" s="79">
        <v>69.384175095483499</v>
      </c>
      <c r="E19" s="38">
        <v>70.286805295483504</v>
      </c>
      <c r="F19" s="92">
        <v>5.4179956999999996</v>
      </c>
      <c r="G19" s="79">
        <v>6.3210687999999999</v>
      </c>
      <c r="H19" s="16">
        <v>7.2236989999999999</v>
      </c>
    </row>
    <row r="20" spans="2:8" x14ac:dyDescent="0.25">
      <c r="B20" s="11" t="s">
        <v>65</v>
      </c>
      <c r="C20" s="78">
        <v>93.923005000000003</v>
      </c>
      <c r="D20" s="79">
        <v>105.459428</v>
      </c>
      <c r="E20" s="38">
        <v>114.818703</v>
      </c>
      <c r="F20" s="92">
        <v>29.509406999999999</v>
      </c>
      <c r="G20" s="79">
        <v>41.045830000000002</v>
      </c>
      <c r="H20" s="16">
        <v>50.405104999999999</v>
      </c>
    </row>
    <row r="21" spans="2:8" x14ac:dyDescent="0.25">
      <c r="B21" s="11" t="s">
        <v>29</v>
      </c>
      <c r="C21" s="78">
        <v>232.16206793819899</v>
      </c>
      <c r="D21" s="79">
        <v>234.44317235438001</v>
      </c>
      <c r="E21" s="38">
        <v>236.160263404711</v>
      </c>
      <c r="F21" s="92">
        <v>2.5765693496025399</v>
      </c>
      <c r="G21" s="79">
        <v>4.8576737657830797</v>
      </c>
      <c r="H21" s="16">
        <v>6.5747648161141097</v>
      </c>
    </row>
    <row r="22" spans="2:8" x14ac:dyDescent="0.25">
      <c r="B22" s="11" t="s">
        <v>27</v>
      </c>
      <c r="C22" s="78">
        <v>482.95292727226399</v>
      </c>
      <c r="D22" s="79">
        <v>492.90311225296603</v>
      </c>
      <c r="E22" s="38">
        <v>514.84366502279101</v>
      </c>
      <c r="F22" s="92">
        <v>95.854134359878898</v>
      </c>
      <c r="G22" s="79">
        <v>105.804319340581</v>
      </c>
      <c r="H22" s="16">
        <v>127.74487211040601</v>
      </c>
    </row>
    <row r="23" spans="2:8" x14ac:dyDescent="0.25">
      <c r="B23" s="11" t="s">
        <v>64</v>
      </c>
      <c r="C23" s="78">
        <v>464.67878000000002</v>
      </c>
      <c r="D23" s="79">
        <v>601.623468</v>
      </c>
      <c r="E23" s="38">
        <v>751.35515999999996</v>
      </c>
      <c r="F23" s="92">
        <v>266.31599199999999</v>
      </c>
      <c r="G23" s="79">
        <v>403.26067999999998</v>
      </c>
      <c r="H23" s="16">
        <v>552.99237200000005</v>
      </c>
    </row>
    <row r="24" spans="2:8" x14ac:dyDescent="0.25">
      <c r="B24" s="11" t="s">
        <v>26</v>
      </c>
      <c r="C24" s="78">
        <v>475.55318268710499</v>
      </c>
      <c r="D24" s="79">
        <v>513.06853823608503</v>
      </c>
      <c r="E24" s="38">
        <v>554.51907556271999</v>
      </c>
      <c r="F24" s="92">
        <v>41.783589312575202</v>
      </c>
      <c r="G24" s="79">
        <v>79.298944861555299</v>
      </c>
      <c r="H24" s="16">
        <v>120.74948218819</v>
      </c>
    </row>
    <row r="25" spans="2:8" x14ac:dyDescent="0.25">
      <c r="B25" s="11" t="s">
        <v>31</v>
      </c>
      <c r="C25" s="78">
        <v>1176.3636120000001</v>
      </c>
      <c r="D25" s="79">
        <v>1270.8798119999999</v>
      </c>
      <c r="E25" s="38">
        <v>1380.2586120000001</v>
      </c>
      <c r="F25" s="92">
        <v>86.111999999999995</v>
      </c>
      <c r="G25" s="79">
        <v>180.62819999999999</v>
      </c>
      <c r="H25" s="16">
        <v>290.00700000000001</v>
      </c>
    </row>
    <row r="26" spans="2:8" x14ac:dyDescent="0.25">
      <c r="B26" s="11" t="s">
        <v>32</v>
      </c>
      <c r="C26" s="78">
        <v>1200.4754141507799</v>
      </c>
      <c r="D26" s="79">
        <v>1246.1129854148901</v>
      </c>
      <c r="E26" s="38">
        <v>1281.0986618650099</v>
      </c>
      <c r="F26" s="92">
        <v>58.940603854021099</v>
      </c>
      <c r="G26" s="79">
        <v>104.578175118126</v>
      </c>
      <c r="H26" s="16">
        <v>139.563851568248</v>
      </c>
    </row>
    <row r="27" spans="2:8" x14ac:dyDescent="0.25">
      <c r="B27" s="80" t="s">
        <v>33</v>
      </c>
      <c r="C27" s="81">
        <v>4426.2098499390304</v>
      </c>
      <c r="D27" s="82">
        <v>4446.3042616890298</v>
      </c>
      <c r="E27" s="96">
        <v>4506.64359628903</v>
      </c>
      <c r="F27" s="93">
        <v>21.473723459999999</v>
      </c>
      <c r="G27" s="82">
        <v>41.568135210000001</v>
      </c>
      <c r="H27" s="83">
        <v>101.90746980999999</v>
      </c>
    </row>
    <row r="28" spans="2:8" x14ac:dyDescent="0.25">
      <c r="B28" s="23" t="s">
        <v>66</v>
      </c>
      <c r="C28" s="84">
        <v>8835.4077593371603</v>
      </c>
      <c r="D28" s="85">
        <v>9204.7725114877703</v>
      </c>
      <c r="E28" s="35">
        <v>9647.85135371469</v>
      </c>
      <c r="F28" s="94">
        <v>623.67664249213999</v>
      </c>
      <c r="G28" s="85">
        <v>993.04139464275704</v>
      </c>
      <c r="H28" s="10">
        <v>1436.12023686967</v>
      </c>
    </row>
    <row r="29" spans="2:8" ht="16.5" thickBot="1" x14ac:dyDescent="0.3">
      <c r="B29" s="24" t="s">
        <v>67</v>
      </c>
      <c r="C29" s="86">
        <v>9039.8519628597296</v>
      </c>
      <c r="D29" s="87">
        <v>9198.4720318910404</v>
      </c>
      <c r="E29" s="49">
        <v>9375.0044439387093</v>
      </c>
      <c r="F29" s="95">
        <v>835.64008683758004</v>
      </c>
      <c r="G29" s="87">
        <v>980.50616341064199</v>
      </c>
      <c r="H29" s="28">
        <v>1166.3819824289999</v>
      </c>
    </row>
    <row r="31" spans="2:8" x14ac:dyDescent="0.25">
      <c r="B31" s="318"/>
      <c r="C31" s="318"/>
      <c r="D31" s="318"/>
      <c r="E31" s="318"/>
      <c r="F31" s="318"/>
      <c r="G31" s="318"/>
      <c r="H31" s="318"/>
    </row>
    <row r="32" spans="2:8" x14ac:dyDescent="0.25">
      <c r="B32" s="318"/>
      <c r="C32" s="318"/>
      <c r="D32" s="318"/>
      <c r="E32" s="318"/>
      <c r="F32" s="318"/>
      <c r="G32" s="318"/>
      <c r="H32" s="318"/>
    </row>
    <row r="33" spans="2:8" x14ac:dyDescent="0.25">
      <c r="B33" s="318"/>
      <c r="C33" s="318"/>
      <c r="D33" s="318"/>
      <c r="E33" s="318"/>
      <c r="F33" s="318"/>
      <c r="G33" s="318"/>
      <c r="H33" s="318"/>
    </row>
    <row r="34" spans="2:8" x14ac:dyDescent="0.25">
      <c r="B34" s="318"/>
      <c r="C34" s="318"/>
      <c r="D34" s="318"/>
      <c r="E34" s="318"/>
      <c r="F34" s="318"/>
      <c r="G34" s="318"/>
      <c r="H34" s="318"/>
    </row>
    <row r="35" spans="2:8" x14ac:dyDescent="0.25">
      <c r="B35" s="327"/>
      <c r="C35" s="327"/>
      <c r="D35" s="327"/>
      <c r="E35" s="327"/>
      <c r="F35" s="327"/>
      <c r="G35" s="327"/>
      <c r="H35" s="327"/>
    </row>
    <row r="36" spans="2:8" x14ac:dyDescent="0.25">
      <c r="B36" s="318"/>
      <c r="C36" s="318"/>
      <c r="D36" s="318"/>
      <c r="E36" s="318"/>
      <c r="F36" s="318"/>
      <c r="G36" s="318"/>
      <c r="H36" s="318"/>
    </row>
    <row r="37" spans="2:8" x14ac:dyDescent="0.25">
      <c r="B37" s="317"/>
      <c r="C37" s="318"/>
      <c r="D37" s="318"/>
      <c r="E37" s="318"/>
      <c r="F37" s="318"/>
      <c r="G37" s="318"/>
      <c r="H37" s="318"/>
    </row>
    <row r="38" spans="2:8" x14ac:dyDescent="0.25">
      <c r="B38" s="317"/>
      <c r="C38" s="318"/>
      <c r="D38" s="318"/>
      <c r="E38" s="318"/>
      <c r="F38" s="318"/>
      <c r="G38" s="318"/>
      <c r="H38" s="318"/>
    </row>
  </sheetData>
  <mergeCells count="10">
    <mergeCell ref="B35:H35"/>
    <mergeCell ref="B36:H36"/>
    <mergeCell ref="B37:H37"/>
    <mergeCell ref="B38:H38"/>
    <mergeCell ref="B2:H2"/>
    <mergeCell ref="B31:H31"/>
    <mergeCell ref="B32:H32"/>
    <mergeCell ref="B33:H33"/>
    <mergeCell ref="B34:H34"/>
    <mergeCell ref="B4:B5"/>
  </mergeCells>
  <printOptions gridLines="1"/>
  <pageMargins left="0.05" right="0.05" top="0.5" bottom="0.5" header="0" footer="0"/>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38B21"/>
    <pageSetUpPr fitToPage="1"/>
  </sheetPr>
  <dimension ref="B1:H29"/>
  <sheetViews>
    <sheetView zoomScale="85" zoomScaleNormal="85" workbookViewId="0"/>
  </sheetViews>
  <sheetFormatPr defaultColWidth="11.42578125" defaultRowHeight="12" customHeight="1" x14ac:dyDescent="0.25"/>
  <cols>
    <col min="1" max="1" width="11.42578125" customWidth="1"/>
    <col min="2" max="2" width="38.7109375" customWidth="1"/>
    <col min="3" max="8" width="17.7109375" customWidth="1"/>
  </cols>
  <sheetData>
    <row r="1" spans="2:8" ht="15" customHeight="1" x14ac:dyDescent="0.25"/>
    <row r="2" spans="2:8" ht="21" customHeight="1" x14ac:dyDescent="0.35">
      <c r="B2" s="330" t="s">
        <v>70</v>
      </c>
      <c r="C2" s="331"/>
      <c r="D2" s="331"/>
      <c r="E2" s="331"/>
      <c r="F2" s="331"/>
      <c r="G2" s="331"/>
      <c r="H2" s="331"/>
    </row>
    <row r="3" spans="2:8" ht="15" customHeight="1" thickBot="1" x14ac:dyDescent="0.3"/>
    <row r="4" spans="2:8" ht="17.100000000000001" customHeight="1" x14ac:dyDescent="0.25">
      <c r="B4" s="338" t="s">
        <v>71</v>
      </c>
      <c r="C4" s="342" t="s">
        <v>41</v>
      </c>
      <c r="D4" s="342"/>
      <c r="E4" s="340" t="s">
        <v>42</v>
      </c>
      <c r="F4" s="343"/>
      <c r="G4" s="342" t="s">
        <v>43</v>
      </c>
      <c r="H4" s="341"/>
    </row>
    <row r="5" spans="2:8" ht="17.100000000000001" customHeight="1" x14ac:dyDescent="0.25">
      <c r="B5" s="339"/>
      <c r="C5" s="98" t="s">
        <v>44</v>
      </c>
      <c r="D5" s="98" t="s">
        <v>45</v>
      </c>
      <c r="E5" s="99" t="s">
        <v>44</v>
      </c>
      <c r="F5" s="100" t="s">
        <v>45</v>
      </c>
      <c r="G5" s="98" t="s">
        <v>44</v>
      </c>
      <c r="H5" s="101" t="s">
        <v>45</v>
      </c>
    </row>
    <row r="6" spans="2:8" ht="17.100000000000001" customHeight="1" x14ac:dyDescent="0.25">
      <c r="B6" s="112" t="s">
        <v>26</v>
      </c>
      <c r="C6" s="102">
        <v>125</v>
      </c>
      <c r="D6" s="102">
        <v>5.2080000000000002</v>
      </c>
      <c r="E6" s="103">
        <v>10</v>
      </c>
      <c r="F6" s="104">
        <v>0.41599999999999998</v>
      </c>
      <c r="G6" s="102">
        <v>58.652999999999999</v>
      </c>
      <c r="H6" s="105">
        <v>2.444</v>
      </c>
    </row>
    <row r="7" spans="2:8" ht="17.100000000000001" customHeight="1" x14ac:dyDescent="0.25">
      <c r="B7" s="113" t="s">
        <v>33</v>
      </c>
      <c r="C7" s="102">
        <v>99.52</v>
      </c>
      <c r="D7" s="102">
        <v>4.1470000000000002</v>
      </c>
      <c r="E7" s="103">
        <v>30</v>
      </c>
      <c r="F7" s="104">
        <v>1.25</v>
      </c>
      <c r="G7" s="102">
        <v>74.323999999999998</v>
      </c>
      <c r="H7" s="105">
        <v>3.097</v>
      </c>
    </row>
    <row r="8" spans="2:8" ht="17.100000000000001" customHeight="1" x14ac:dyDescent="0.25">
      <c r="B8" s="113" t="s">
        <v>27</v>
      </c>
      <c r="C8" s="102">
        <v>77</v>
      </c>
      <c r="D8" s="102">
        <v>3.2080000000000002</v>
      </c>
      <c r="E8" s="103">
        <v>40</v>
      </c>
      <c r="F8" s="104">
        <v>1.667</v>
      </c>
      <c r="G8" s="102">
        <v>43.338999999999999</v>
      </c>
      <c r="H8" s="105">
        <v>1.806</v>
      </c>
    </row>
    <row r="9" spans="2:8" ht="17.100000000000001" customHeight="1" x14ac:dyDescent="0.25">
      <c r="B9" s="113" t="s">
        <v>32</v>
      </c>
      <c r="C9" s="102">
        <v>68.492999999999995</v>
      </c>
      <c r="D9" s="102">
        <v>2.8540000000000001</v>
      </c>
      <c r="E9" s="103">
        <v>2.1539999999999999</v>
      </c>
      <c r="F9" s="104">
        <v>0.09</v>
      </c>
      <c r="G9" s="102">
        <v>42.756</v>
      </c>
      <c r="H9" s="105">
        <v>1.7809999999999999</v>
      </c>
    </row>
    <row r="10" spans="2:8" ht="17.100000000000001" customHeight="1" x14ac:dyDescent="0.25">
      <c r="B10" s="113" t="s">
        <v>64</v>
      </c>
      <c r="C10" s="102">
        <v>67.5</v>
      </c>
      <c r="D10" s="102">
        <v>2.81</v>
      </c>
      <c r="E10" s="103" t="s">
        <v>19</v>
      </c>
      <c r="F10" s="104" t="s">
        <v>19</v>
      </c>
      <c r="G10" s="102">
        <v>52.3</v>
      </c>
      <c r="H10" s="105">
        <v>2.1800000000000002</v>
      </c>
    </row>
    <row r="11" spans="2:8" ht="17.100000000000001" customHeight="1" x14ac:dyDescent="0.25">
      <c r="B11" s="113" t="s">
        <v>31</v>
      </c>
      <c r="C11" s="102">
        <v>61.97</v>
      </c>
      <c r="D11" s="102">
        <v>2.5819999999999999</v>
      </c>
      <c r="E11" s="103">
        <v>35</v>
      </c>
      <c r="F11" s="104">
        <v>1.458</v>
      </c>
      <c r="G11" s="102">
        <v>43.374000000000002</v>
      </c>
      <c r="H11" s="105">
        <v>1.8069999999999999</v>
      </c>
    </row>
    <row r="12" spans="2:8" ht="17.100000000000001" customHeight="1" x14ac:dyDescent="0.25">
      <c r="B12" s="113" t="s">
        <v>23</v>
      </c>
      <c r="C12" s="102">
        <v>30</v>
      </c>
      <c r="D12" s="102">
        <v>1.25</v>
      </c>
      <c r="E12" s="103" t="s">
        <v>19</v>
      </c>
      <c r="F12" s="104" t="s">
        <v>19</v>
      </c>
      <c r="G12" s="102">
        <v>0.26</v>
      </c>
      <c r="H12" s="105">
        <v>1.0999999999999999E-2</v>
      </c>
    </row>
    <row r="13" spans="2:8" ht="17.100000000000001" customHeight="1" x14ac:dyDescent="0.25">
      <c r="B13" s="113" t="s">
        <v>29</v>
      </c>
      <c r="C13" s="102">
        <v>25</v>
      </c>
      <c r="D13" s="102">
        <v>1.042</v>
      </c>
      <c r="E13" s="103">
        <v>2.5</v>
      </c>
      <c r="F13" s="104">
        <v>0.104</v>
      </c>
      <c r="G13" s="102">
        <v>4.1310000000000002</v>
      </c>
      <c r="H13" s="105">
        <v>0.17199999999999999</v>
      </c>
    </row>
    <row r="14" spans="2:8" ht="17.100000000000001" customHeight="1" x14ac:dyDescent="0.25">
      <c r="B14" s="106" t="s">
        <v>65</v>
      </c>
      <c r="C14" s="102">
        <v>13.5</v>
      </c>
      <c r="D14" s="102">
        <v>0.56000000000000005</v>
      </c>
      <c r="E14" s="103" t="s">
        <v>19</v>
      </c>
      <c r="F14" s="104" t="s">
        <v>19</v>
      </c>
      <c r="G14" s="102">
        <v>5.7</v>
      </c>
      <c r="H14" s="105">
        <v>0.23799999999999999</v>
      </c>
    </row>
    <row r="15" spans="2:8" ht="17.100000000000001" customHeight="1" x14ac:dyDescent="0.25">
      <c r="B15" s="106" t="s">
        <v>24</v>
      </c>
      <c r="C15" s="102">
        <v>8.8000000000000007</v>
      </c>
      <c r="D15" s="102">
        <v>0.36599999999999999</v>
      </c>
      <c r="E15" s="103">
        <v>0</v>
      </c>
      <c r="F15" s="104">
        <v>0</v>
      </c>
      <c r="G15" s="102">
        <v>1.65</v>
      </c>
      <c r="H15" s="105">
        <v>6.9000000000000006E-2</v>
      </c>
    </row>
    <row r="16" spans="2:8" ht="17.100000000000001" customHeight="1" x14ac:dyDescent="0.25">
      <c r="B16" s="106" t="s">
        <v>14</v>
      </c>
      <c r="C16" s="102">
        <v>5.0999999999999996</v>
      </c>
      <c r="D16" s="102">
        <v>0.21199999999999999</v>
      </c>
      <c r="E16" s="103" t="s">
        <v>19</v>
      </c>
      <c r="F16" s="104" t="s">
        <v>19</v>
      </c>
      <c r="G16" s="102" t="s">
        <v>19</v>
      </c>
      <c r="H16" s="105" t="s">
        <v>19</v>
      </c>
    </row>
    <row r="17" spans="2:8" ht="17.100000000000001" customHeight="1" x14ac:dyDescent="0.25">
      <c r="B17" s="106" t="s">
        <v>25</v>
      </c>
      <c r="C17" s="102">
        <v>1.8685</v>
      </c>
      <c r="D17" s="102">
        <v>7.7850000000000003E-2</v>
      </c>
      <c r="E17" s="103">
        <v>0</v>
      </c>
      <c r="F17" s="104">
        <v>0</v>
      </c>
      <c r="G17" s="102">
        <v>0.95279999999999998</v>
      </c>
      <c r="H17" s="105">
        <v>3.9699999999999999E-2</v>
      </c>
    </row>
    <row r="18" spans="2:8" ht="17.100000000000001" customHeight="1" x14ac:dyDescent="0.25">
      <c r="B18" s="106" t="s">
        <v>18</v>
      </c>
      <c r="C18" s="102">
        <v>1.8</v>
      </c>
      <c r="D18" s="102">
        <v>7.5999999999999998E-2</v>
      </c>
      <c r="E18" s="103">
        <v>0.6</v>
      </c>
      <c r="F18" s="104">
        <v>2.5000000000000001E-2</v>
      </c>
      <c r="G18" s="102">
        <v>0.8</v>
      </c>
      <c r="H18" s="105">
        <v>3.3000000000000002E-2</v>
      </c>
    </row>
    <row r="19" spans="2:8" ht="17.100000000000001" customHeight="1" x14ac:dyDescent="0.25">
      <c r="B19" s="106" t="s">
        <v>28</v>
      </c>
      <c r="C19" s="102">
        <v>0.4</v>
      </c>
      <c r="D19" s="102">
        <v>1.7000000000000001E-2</v>
      </c>
      <c r="E19" s="103">
        <v>0</v>
      </c>
      <c r="F19" s="104">
        <v>0</v>
      </c>
      <c r="G19" s="102">
        <v>0.18099999999999999</v>
      </c>
      <c r="H19" s="105">
        <v>7.4999999999999997E-3</v>
      </c>
    </row>
    <row r="20" spans="2:8" ht="17.100000000000001" customHeight="1" x14ac:dyDescent="0.25">
      <c r="B20" s="106" t="s">
        <v>16</v>
      </c>
      <c r="C20" s="102">
        <v>0.36609999999999998</v>
      </c>
      <c r="D20" s="102">
        <v>1.525E-2</v>
      </c>
      <c r="E20" s="103">
        <v>0</v>
      </c>
      <c r="F20" s="104">
        <v>0</v>
      </c>
      <c r="G20" s="102">
        <v>0.21118999999999999</v>
      </c>
      <c r="H20" s="105">
        <v>8.8000000000000005E-3</v>
      </c>
    </row>
    <row r="21" spans="2:8" ht="17.100000000000001" customHeight="1" x14ac:dyDescent="0.25">
      <c r="B21" s="106" t="s">
        <v>20</v>
      </c>
      <c r="C21" s="102">
        <v>0.27009</v>
      </c>
      <c r="D21" s="102">
        <v>1.125E-2</v>
      </c>
      <c r="E21" s="103">
        <v>0</v>
      </c>
      <c r="F21" s="104">
        <v>0</v>
      </c>
      <c r="G21" s="102">
        <v>0.25285999999999997</v>
      </c>
      <c r="H21" s="105">
        <v>1.0540000000000001E-2</v>
      </c>
    </row>
    <row r="22" spans="2:8" ht="17.100000000000001" customHeight="1" x14ac:dyDescent="0.25">
      <c r="B22" s="106" t="s">
        <v>17</v>
      </c>
      <c r="C22" s="102">
        <v>0.05</v>
      </c>
      <c r="D22" s="102">
        <v>2.0833000000000002E-3</v>
      </c>
      <c r="E22" s="103">
        <v>0</v>
      </c>
      <c r="F22" s="104">
        <v>0</v>
      </c>
      <c r="G22" s="102">
        <v>0.01</v>
      </c>
      <c r="H22" s="105">
        <v>4.1659999999999999E-4</v>
      </c>
    </row>
    <row r="23" spans="2:8" ht="17.100000000000001" customHeight="1" thickBot="1" x14ac:dyDescent="0.3">
      <c r="B23" s="107" t="s">
        <v>47</v>
      </c>
      <c r="C23" s="108">
        <f>SUM(C6:C22)</f>
        <v>586.63768999999979</v>
      </c>
      <c r="D23" s="108">
        <f t="shared" ref="D23:H23" si="0">SUM(D6:D22)</f>
        <v>24.438433300000003</v>
      </c>
      <c r="E23" s="108">
        <f t="shared" si="0"/>
        <v>120.25399999999999</v>
      </c>
      <c r="F23" s="108">
        <f t="shared" si="0"/>
        <v>5.0100000000000007</v>
      </c>
      <c r="G23" s="108">
        <f t="shared" si="0"/>
        <v>328.89485000000002</v>
      </c>
      <c r="H23" s="108">
        <f t="shared" si="0"/>
        <v>13.704956600000001</v>
      </c>
    </row>
    <row r="24" spans="2:8" ht="17.100000000000001" customHeight="1" x14ac:dyDescent="0.25"/>
    <row r="25" spans="2:8" ht="17.100000000000001" customHeight="1" x14ac:dyDescent="0.25">
      <c r="B25" s="337"/>
      <c r="C25" s="337"/>
      <c r="D25" s="337"/>
      <c r="E25" s="337"/>
      <c r="F25" s="337"/>
      <c r="G25" s="337"/>
      <c r="H25" s="337"/>
    </row>
    <row r="26" spans="2:8" ht="12" customHeight="1" thickBot="1" x14ac:dyDescent="0.3"/>
    <row r="27" spans="2:8" ht="12" customHeight="1" x14ac:dyDescent="0.25">
      <c r="B27" s="338" t="s">
        <v>72</v>
      </c>
      <c r="C27" s="340" t="s">
        <v>41</v>
      </c>
      <c r="D27" s="341"/>
    </row>
    <row r="28" spans="2:8" ht="12" customHeight="1" x14ac:dyDescent="0.25">
      <c r="B28" s="339"/>
      <c r="C28" s="99" t="s">
        <v>44</v>
      </c>
      <c r="D28" s="101" t="s">
        <v>45</v>
      </c>
    </row>
    <row r="29" spans="2:8" ht="15.75" thickBot="1" x14ac:dyDescent="0.3">
      <c r="B29" s="109" t="s">
        <v>46</v>
      </c>
      <c r="C29" s="110">
        <v>65</v>
      </c>
      <c r="D29" s="111">
        <v>2.7080000000000002</v>
      </c>
    </row>
  </sheetData>
  <mergeCells count="8">
    <mergeCell ref="B2:H2"/>
    <mergeCell ref="B25:H25"/>
    <mergeCell ref="B4:B5"/>
    <mergeCell ref="B27:B28"/>
    <mergeCell ref="C27:D27"/>
    <mergeCell ref="C4:D4"/>
    <mergeCell ref="E4:F4"/>
    <mergeCell ref="G4:H4"/>
  </mergeCells>
  <printOptions gridLines="1"/>
  <pageMargins left="0.05" right="0.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reserves 1 Jan 2025</dc:title>
  <cp:keywords>MAKO ID 174732127</cp:keywords>
  <cp:revision>1</cp:revision>
  <dcterms:created xsi:type="dcterms:W3CDTF">2025-04-10T23:57:43Z</dcterms:created>
  <dcterms:modified xsi:type="dcterms:W3CDTF">2025-05-29T00:57:16Z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2025-04-11T03:10:49Z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ced5c3ee-ab7a-40a0-9a8c-4051382014d3</vt:lpwstr>
  </property>
  <property fmtid="{D5CDD505-2E9C-101B-9397-08002B2CF9AE}" pid="8" name="MSIP_Label_738466f7-346c-47bb-a4d2-4a6558d61975_ContentBits">
    <vt:lpwstr>0</vt:lpwstr>
  </property>
</Properties>
</file>